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8201"/>
  <workbookPr/>
  <mc:AlternateContent xmlns:mc="http://schemas.openxmlformats.org/markup-compatibility/2006">
    <mc:Choice Requires="x15">
      <x15ac:absPath xmlns:x15ac="http://schemas.microsoft.com/office/spreadsheetml/2010/11/ac" url="C:\Users\marke\Documents\_COVID\NHDB\updates\"/>
    </mc:Choice>
  </mc:AlternateContent>
  <bookViews>
    <workbookView xWindow="804" yWindow="180" windowWidth="19752" windowHeight="11232"/>
  </bookViews>
  <sheets>
    <sheet name="Introduction" sheetId="22" r:id="rId1"/>
    <sheet name="OHA Elections" sheetId="23" r:id="rId2"/>
    <sheet name="2022" sheetId="24" r:id="rId3"/>
    <sheet name="2020" sheetId="21" r:id="rId4"/>
    <sheet name="2018" sheetId="3" r:id="rId5"/>
    <sheet name="2016" sheetId="1" r:id="rId6"/>
    <sheet name="2014" sheetId="2" r:id="rId7"/>
    <sheet name="2012" sheetId="4" r:id="rId8"/>
    <sheet name="2010" sheetId="5" r:id="rId9"/>
    <sheet name="2008" sheetId="6" r:id="rId10"/>
    <sheet name="2006" sheetId="7" r:id="rId11"/>
    <sheet name="2004" sheetId="8" r:id="rId12"/>
    <sheet name="2002" sheetId="9" r:id="rId13"/>
    <sheet name="2000" sheetId="10" r:id="rId14"/>
    <sheet name="1998" sheetId="11" r:id="rId15"/>
    <sheet name="1996" sheetId="12" r:id="rId16"/>
    <sheet name="1994" sheetId="13" r:id="rId17"/>
    <sheet name="1992" sheetId="14" r:id="rId18"/>
    <sheet name="1990" sheetId="15" r:id="rId19"/>
    <sheet name="1988" sheetId="16" r:id="rId20"/>
    <sheet name="1986" sheetId="17" r:id="rId21"/>
    <sheet name="1984" sheetId="18" r:id="rId22"/>
    <sheet name="1982" sheetId="19" r:id="rId23"/>
    <sheet name="1980" sheetId="20" r:id="rId2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40" i="24" l="1"/>
  <c r="D40" i="24" s="1"/>
  <c r="D39" i="24"/>
  <c r="D38" i="24"/>
  <c r="D37" i="24"/>
  <c r="D36" i="24"/>
  <c r="D35" i="24"/>
  <c r="D34" i="24"/>
  <c r="D33" i="24"/>
  <c r="D32" i="24"/>
  <c r="D31" i="24"/>
  <c r="D30" i="24"/>
  <c r="D29" i="24"/>
  <c r="D65" i="24"/>
  <c r="B65" i="24"/>
  <c r="D64" i="24"/>
  <c r="D63" i="24"/>
  <c r="D62" i="24"/>
  <c r="D61" i="24"/>
  <c r="D60" i="24"/>
  <c r="D59" i="24"/>
  <c r="D52" i="24"/>
  <c r="D51" i="24"/>
  <c r="D50" i="24"/>
  <c r="B52" i="24"/>
  <c r="D18" i="24"/>
  <c r="D17" i="24"/>
  <c r="D16" i="24"/>
  <c r="D15" i="24"/>
  <c r="B19" i="24"/>
  <c r="D19" i="24" s="1"/>
  <c r="D76" i="21"/>
  <c r="D75" i="21"/>
  <c r="D68" i="21"/>
  <c r="D67" i="21"/>
  <c r="D59" i="21"/>
  <c r="D58" i="21"/>
  <c r="D77" i="21"/>
  <c r="D69" i="21"/>
  <c r="D60" i="21"/>
  <c r="D47" i="21"/>
  <c r="D46" i="21"/>
  <c r="D45" i="21"/>
  <c r="D44" i="21"/>
  <c r="D43" i="21"/>
  <c r="D42" i="21"/>
  <c r="D41" i="21"/>
  <c r="D9" i="21"/>
  <c r="D18" i="21"/>
  <c r="D35" i="21"/>
  <c r="D34" i="21"/>
  <c r="D33" i="21"/>
  <c r="D32" i="21"/>
  <c r="D31" i="21"/>
  <c r="D30" i="21"/>
  <c r="D29" i="21"/>
  <c r="D28" i="21"/>
  <c r="D27" i="21"/>
  <c r="D26" i="21"/>
  <c r="D25" i="21"/>
  <c r="D24" i="21"/>
  <c r="D17" i="21"/>
  <c r="D16" i="21"/>
  <c r="D15" i="21"/>
  <c r="D8" i="21"/>
  <c r="D7" i="21"/>
  <c r="D6" i="21"/>
  <c r="B48" i="21"/>
  <c r="D48" i="21"/>
  <c r="B67" i="11"/>
  <c r="D59" i="11"/>
  <c r="D50" i="11"/>
  <c r="D49" i="11"/>
  <c r="D42" i="11"/>
  <c r="D64" i="11"/>
  <c r="D66" i="11"/>
  <c r="D65" i="11"/>
  <c r="D58" i="11"/>
  <c r="D61" i="11"/>
  <c r="D60" i="11"/>
  <c r="D63" i="11"/>
  <c r="D57" i="11"/>
  <c r="D48" i="11"/>
  <c r="D56" i="11"/>
  <c r="D45" i="11"/>
  <c r="D55" i="11"/>
  <c r="D53" i="11"/>
  <c r="D52" i="11"/>
  <c r="D44" i="11"/>
  <c r="D62" i="11"/>
  <c r="D54" i="11"/>
  <c r="D46" i="11"/>
  <c r="D43" i="11"/>
  <c r="D51" i="11"/>
  <c r="D47" i="11"/>
  <c r="B36" i="11"/>
  <c r="B24" i="11"/>
  <c r="D21" i="11"/>
  <c r="D18" i="11"/>
  <c r="D17" i="11"/>
  <c r="D20" i="11"/>
  <c r="D23" i="11"/>
  <c r="D19" i="11"/>
  <c r="D22" i="11"/>
  <c r="D25" i="20"/>
  <c r="D24" i="20"/>
  <c r="D23" i="20"/>
  <c r="D22" i="20"/>
  <c r="D21" i="20"/>
  <c r="D20" i="20"/>
  <c r="D19" i="20"/>
  <c r="D18" i="20"/>
  <c r="D49" i="20"/>
  <c r="D48" i="20"/>
  <c r="D47" i="20"/>
  <c r="D46" i="20"/>
  <c r="D45" i="20"/>
  <c r="D44" i="20"/>
  <c r="D43" i="20"/>
  <c r="D42" i="20"/>
  <c r="D41" i="20"/>
  <c r="D40" i="20"/>
  <c r="D39" i="20"/>
  <c r="D38" i="20"/>
  <c r="D37" i="20"/>
  <c r="D36" i="20"/>
  <c r="D35" i="20"/>
  <c r="D34" i="20"/>
  <c r="D33" i="20"/>
  <c r="D32" i="20"/>
  <c r="D31" i="20"/>
  <c r="D30" i="20"/>
  <c r="D29" i="20"/>
  <c r="D28" i="20"/>
  <c r="D27" i="20"/>
  <c r="D26" i="20"/>
  <c r="D75" i="20"/>
  <c r="D74" i="20"/>
  <c r="D73" i="20"/>
  <c r="D72" i="20"/>
  <c r="D71" i="20"/>
  <c r="D70" i="20"/>
  <c r="D69" i="20"/>
  <c r="D68" i="20"/>
  <c r="D67" i="20"/>
  <c r="D66" i="20"/>
  <c r="D65" i="20"/>
  <c r="D64" i="20"/>
  <c r="D63" i="20"/>
  <c r="D62" i="20"/>
  <c r="D61" i="20"/>
  <c r="D60" i="20"/>
  <c r="D59" i="20"/>
  <c r="D58" i="20"/>
  <c r="D57" i="20"/>
  <c r="D56" i="20"/>
  <c r="D55" i="20"/>
  <c r="D54" i="20"/>
  <c r="D53" i="20"/>
  <c r="D52" i="20"/>
  <c r="D51" i="20"/>
  <c r="D50" i="20"/>
  <c r="D97" i="20"/>
  <c r="D96" i="20"/>
  <c r="D95" i="20"/>
  <c r="D94" i="20"/>
  <c r="D93" i="20"/>
  <c r="D92" i="20"/>
  <c r="D91" i="20"/>
  <c r="D90" i="20"/>
  <c r="D89" i="20"/>
  <c r="D88" i="20"/>
  <c r="D87" i="20"/>
  <c r="D86" i="20"/>
  <c r="D85" i="20"/>
  <c r="D84" i="20"/>
  <c r="D83" i="20"/>
  <c r="D82" i="20"/>
  <c r="D81" i="20"/>
  <c r="D80" i="20"/>
  <c r="D79" i="20"/>
  <c r="D78" i="20"/>
  <c r="D77" i="20"/>
  <c r="D76" i="20"/>
  <c r="B98" i="20"/>
  <c r="D98" i="20"/>
  <c r="D117" i="20"/>
  <c r="D116" i="20"/>
  <c r="D115" i="20"/>
  <c r="D114" i="20"/>
  <c r="D113" i="20"/>
  <c r="D112" i="20"/>
  <c r="D111" i="20"/>
  <c r="D110" i="20"/>
  <c r="D109" i="20"/>
  <c r="D108" i="20"/>
  <c r="D107" i="20"/>
  <c r="D106" i="20"/>
  <c r="D105" i="20"/>
  <c r="D104" i="20"/>
  <c r="B118" i="20"/>
  <c r="D118" i="20"/>
  <c r="D128" i="20"/>
  <c r="D127" i="20"/>
  <c r="D126" i="20"/>
  <c r="D125" i="20"/>
  <c r="D124" i="20"/>
  <c r="B129" i="20"/>
  <c r="D129" i="20"/>
  <c r="D145" i="20"/>
  <c r="D144" i="20"/>
  <c r="D143" i="20"/>
  <c r="D142" i="20"/>
  <c r="D141" i="20"/>
  <c r="D140" i="20"/>
  <c r="D139" i="20"/>
  <c r="D138" i="20"/>
  <c r="D137" i="20"/>
  <c r="D136" i="20"/>
  <c r="D135" i="20"/>
  <c r="B146" i="20"/>
  <c r="D146" i="20"/>
  <c r="D155" i="20"/>
  <c r="D154" i="20"/>
  <c r="D153" i="20"/>
  <c r="D152" i="20"/>
  <c r="B156" i="20"/>
  <c r="D156" i="20"/>
  <c r="D183" i="20"/>
  <c r="D182" i="20"/>
  <c r="D181" i="20"/>
  <c r="D180" i="20"/>
  <c r="D179" i="20"/>
  <c r="D178" i="20"/>
  <c r="D177" i="20"/>
  <c r="D176" i="20"/>
  <c r="D175" i="20"/>
  <c r="D174" i="20"/>
  <c r="D173" i="20"/>
  <c r="D172" i="20"/>
  <c r="D171" i="20"/>
  <c r="D170" i="20"/>
  <c r="D169" i="20"/>
  <c r="D168" i="20"/>
  <c r="D167" i="20"/>
  <c r="D166" i="20"/>
  <c r="D165" i="20"/>
  <c r="D164" i="20"/>
  <c r="D163" i="20"/>
  <c r="D162" i="20"/>
  <c r="B184" i="20"/>
  <c r="D184" i="20"/>
  <c r="D37" i="19"/>
  <c r="D36" i="19"/>
  <c r="D35" i="19"/>
  <c r="D34" i="19"/>
  <c r="D33" i="19"/>
  <c r="D32" i="19"/>
  <c r="D31" i="19"/>
  <c r="D30" i="19"/>
  <c r="D29" i="19"/>
  <c r="D28" i="19"/>
  <c r="D27" i="19"/>
  <c r="D26" i="19"/>
  <c r="D25" i="19"/>
  <c r="D24" i="19"/>
  <c r="D23" i="19"/>
  <c r="D22" i="19"/>
  <c r="D21" i="19"/>
  <c r="D20" i="19"/>
  <c r="D19" i="19"/>
  <c r="D18" i="19"/>
  <c r="B38" i="19"/>
  <c r="D38" i="19"/>
  <c r="D52" i="19"/>
  <c r="D51" i="19"/>
  <c r="D50" i="19"/>
  <c r="D49" i="19"/>
  <c r="D48" i="19"/>
  <c r="D47" i="19"/>
  <c r="D46" i="19"/>
  <c r="D45" i="19"/>
  <c r="D44" i="19"/>
  <c r="B53" i="19"/>
  <c r="D53" i="19"/>
  <c r="D31" i="18"/>
  <c r="D30" i="18"/>
  <c r="D29" i="18"/>
  <c r="D28" i="18"/>
  <c r="D27" i="18"/>
  <c r="D26" i="18"/>
  <c r="D25" i="18"/>
  <c r="D24" i="18"/>
  <c r="D23" i="18"/>
  <c r="D22" i="18"/>
  <c r="D21" i="18"/>
  <c r="D20" i="18"/>
  <c r="D19" i="18"/>
  <c r="D18" i="18"/>
  <c r="B32" i="18"/>
  <c r="D32" i="18"/>
  <c r="D41" i="18"/>
  <c r="D40" i="18"/>
  <c r="D39" i="18"/>
  <c r="D38" i="18"/>
  <c r="B42" i="18"/>
  <c r="D42" i="18"/>
  <c r="D50" i="18"/>
  <c r="D49" i="18"/>
  <c r="D48" i="18"/>
  <c r="B50" i="18"/>
  <c r="D60" i="18"/>
  <c r="D59" i="18"/>
  <c r="D58" i="18"/>
  <c r="D57" i="18"/>
  <c r="D56" i="18"/>
  <c r="B61" i="18"/>
  <c r="D61" i="18"/>
  <c r="D40" i="17"/>
  <c r="D39" i="17"/>
  <c r="D38" i="17"/>
  <c r="D37" i="17"/>
  <c r="D36" i="17"/>
  <c r="D35" i="17"/>
  <c r="D34" i="17"/>
  <c r="D33" i="17"/>
  <c r="D32" i="17"/>
  <c r="D31" i="17"/>
  <c r="D30" i="17"/>
  <c r="D29" i="17"/>
  <c r="D28" i="17"/>
  <c r="D27" i="17"/>
  <c r="D26" i="17"/>
  <c r="D25" i="17"/>
  <c r="D24" i="17"/>
  <c r="D23" i="17"/>
  <c r="D22" i="17"/>
  <c r="D21" i="17"/>
  <c r="D20" i="17"/>
  <c r="D19" i="17"/>
  <c r="D18" i="17"/>
  <c r="B41" i="17"/>
  <c r="D41" i="17"/>
  <c r="D48" i="17"/>
  <c r="D47" i="17"/>
  <c r="B49" i="17"/>
  <c r="D49" i="17"/>
  <c r="D61" i="17"/>
  <c r="D60" i="17"/>
  <c r="D59" i="17"/>
  <c r="D58" i="17"/>
  <c r="D57" i="17"/>
  <c r="D56" i="17"/>
  <c r="D55" i="17"/>
  <c r="B62" i="17"/>
  <c r="D62" i="17"/>
  <c r="D27" i="16"/>
  <c r="D26" i="16"/>
  <c r="D25" i="16"/>
  <c r="D24" i="16"/>
  <c r="D23" i="16"/>
  <c r="D22" i="16"/>
  <c r="D21" i="16"/>
  <c r="D20" i="16"/>
  <c r="D19" i="16"/>
  <c r="D18" i="16"/>
  <c r="B28" i="16"/>
  <c r="D28" i="16"/>
  <c r="D36" i="16"/>
  <c r="D35" i="16"/>
  <c r="D34" i="16"/>
  <c r="B37" i="16"/>
  <c r="D37" i="16"/>
  <c r="D44" i="16"/>
  <c r="D43" i="16"/>
  <c r="B45" i="16"/>
  <c r="D45" i="16"/>
  <c r="D52" i="16"/>
  <c r="D51" i="16"/>
  <c r="B53" i="16"/>
  <c r="D53" i="16"/>
  <c r="D35" i="15"/>
  <c r="D34" i="15"/>
  <c r="D33" i="15"/>
  <c r="D32" i="15"/>
  <c r="D31" i="15"/>
  <c r="D30" i="15"/>
  <c r="D29" i="15"/>
  <c r="D28" i="15"/>
  <c r="D27" i="15"/>
  <c r="D26" i="15"/>
  <c r="D25" i="15"/>
  <c r="D24" i="15"/>
  <c r="D23" i="15"/>
  <c r="D22" i="15"/>
  <c r="D21" i="15"/>
  <c r="D20" i="15"/>
  <c r="D19" i="15"/>
  <c r="D18" i="15"/>
  <c r="B36" i="15"/>
  <c r="D36" i="15"/>
  <c r="D45" i="15"/>
  <c r="D44" i="15"/>
  <c r="D43" i="15"/>
  <c r="D42" i="15"/>
  <c r="B46" i="15"/>
  <c r="D46" i="15"/>
  <c r="D58" i="15"/>
  <c r="D57" i="15"/>
  <c r="D56" i="15"/>
  <c r="D55" i="15"/>
  <c r="D54" i="15"/>
  <c r="D53" i="15"/>
  <c r="D52" i="15"/>
  <c r="B59" i="15"/>
  <c r="D59" i="15"/>
  <c r="D62" i="19"/>
  <c r="D61" i="19"/>
  <c r="D60" i="19"/>
  <c r="D59" i="19"/>
  <c r="B63" i="19"/>
  <c r="D63" i="19"/>
  <c r="D70" i="19"/>
  <c r="D69" i="19"/>
  <c r="B71" i="19"/>
  <c r="D71" i="19"/>
  <c r="D79" i="19"/>
  <c r="D78" i="19"/>
  <c r="D77" i="19"/>
  <c r="B80" i="19"/>
  <c r="D80" i="19"/>
  <c r="D24" i="14"/>
  <c r="D23" i="14"/>
  <c r="D22" i="14"/>
  <c r="D21" i="14"/>
  <c r="D20" i="14"/>
  <c r="D19" i="14"/>
  <c r="D32" i="14"/>
  <c r="D31" i="14"/>
  <c r="D41" i="14"/>
  <c r="D40" i="14"/>
  <c r="D39" i="14"/>
  <c r="D55" i="14"/>
  <c r="D54" i="14"/>
  <c r="D53" i="14"/>
  <c r="D52" i="14"/>
  <c r="D51" i="14"/>
  <c r="D50" i="14"/>
  <c r="D49" i="14"/>
  <c r="D48" i="14"/>
  <c r="B56" i="14"/>
  <c r="D56" i="14"/>
  <c r="B42" i="14"/>
  <c r="D42" i="14"/>
  <c r="B33" i="14"/>
  <c r="D33" i="14"/>
  <c r="B25" i="14"/>
  <c r="D25" i="14"/>
  <c r="D73" i="13"/>
  <c r="D72" i="13"/>
  <c r="D71" i="13"/>
  <c r="D70" i="13"/>
  <c r="D69" i="13"/>
  <c r="D68" i="13"/>
  <c r="D67" i="13"/>
  <c r="D66" i="13"/>
  <c r="D65" i="13"/>
  <c r="D64" i="13"/>
  <c r="D63" i="13"/>
  <c r="D62" i="13"/>
  <c r="D61" i="13"/>
  <c r="D60" i="13"/>
  <c r="D59" i="13"/>
  <c r="D58" i="13"/>
  <c r="D57" i="13"/>
  <c r="D56" i="13"/>
  <c r="D55" i="13"/>
  <c r="D54" i="13"/>
  <c r="D53" i="13"/>
  <c r="D52" i="13"/>
  <c r="D51" i="13"/>
  <c r="D50" i="13"/>
  <c r="D49" i="13"/>
  <c r="D48" i="13"/>
  <c r="D47" i="13"/>
  <c r="D46" i="13"/>
  <c r="D45" i="13"/>
  <c r="D44" i="13"/>
  <c r="D74" i="13"/>
  <c r="B75" i="13"/>
  <c r="D75" i="13"/>
  <c r="D37" i="13"/>
  <c r="D36" i="13"/>
  <c r="D35" i="13"/>
  <c r="D34" i="13"/>
  <c r="D33" i="13"/>
  <c r="D32" i="13"/>
  <c r="D25" i="13"/>
  <c r="D24" i="13"/>
  <c r="D23" i="13"/>
  <c r="D22" i="13"/>
  <c r="D21" i="13"/>
  <c r="D20" i="13"/>
  <c r="D19" i="13"/>
  <c r="D18" i="13"/>
  <c r="B26" i="13"/>
  <c r="D26" i="13"/>
  <c r="B38" i="13"/>
  <c r="D38" i="13"/>
  <c r="D57" i="12"/>
  <c r="D56" i="12"/>
  <c r="D55" i="12"/>
  <c r="D54" i="12"/>
  <c r="D53" i="12"/>
  <c r="D52" i="12"/>
  <c r="D51" i="12"/>
  <c r="D50" i="12"/>
  <c r="D43" i="12"/>
  <c r="D42" i="12"/>
  <c r="D41" i="12"/>
  <c r="D40" i="12"/>
  <c r="D39" i="12"/>
  <c r="D32" i="12"/>
  <c r="D31" i="12"/>
  <c r="D30" i="12"/>
  <c r="D29" i="12"/>
  <c r="D28" i="12"/>
  <c r="D27" i="12"/>
  <c r="D26" i="12"/>
  <c r="D19" i="12"/>
  <c r="D18" i="12"/>
  <c r="D17" i="12"/>
  <c r="B20" i="12"/>
  <c r="D20" i="12"/>
  <c r="B33" i="12"/>
  <c r="D33" i="12"/>
  <c r="B44" i="12"/>
  <c r="D44" i="12"/>
  <c r="B58" i="12"/>
  <c r="D58" i="12"/>
  <c r="D35" i="11"/>
  <c r="D33" i="11"/>
  <c r="D34" i="11"/>
  <c r="D31" i="11"/>
  <c r="D30" i="11"/>
  <c r="D32" i="11"/>
  <c r="D67" i="11"/>
  <c r="D162" i="10"/>
  <c r="D161" i="10"/>
  <c r="D160" i="10"/>
  <c r="D159" i="10"/>
  <c r="D158" i="10"/>
  <c r="D157" i="10"/>
  <c r="D156" i="10"/>
  <c r="D155" i="10"/>
  <c r="D154" i="10"/>
  <c r="D153" i="10"/>
  <c r="D152" i="10"/>
  <c r="D151" i="10"/>
  <c r="D150" i="10"/>
  <c r="D149" i="10"/>
  <c r="D148" i="10"/>
  <c r="D147" i="10"/>
  <c r="D146" i="10"/>
  <c r="D145" i="10"/>
  <c r="D144" i="10"/>
  <c r="D143" i="10"/>
  <c r="D136" i="10"/>
  <c r="D135" i="10"/>
  <c r="D134" i="10"/>
  <c r="D133" i="10"/>
  <c r="D132" i="10"/>
  <c r="D131" i="10"/>
  <c r="D130" i="10"/>
  <c r="D129" i="10"/>
  <c r="D122" i="10"/>
  <c r="D121" i="10"/>
  <c r="D120" i="10"/>
  <c r="D119" i="10"/>
  <c r="D118" i="10"/>
  <c r="D71" i="10"/>
  <c r="D70" i="10"/>
  <c r="D69" i="10"/>
  <c r="D68" i="10"/>
  <c r="D67" i="10"/>
  <c r="D66" i="10"/>
  <c r="D65" i="10"/>
  <c r="D64" i="10"/>
  <c r="D63" i="10"/>
  <c r="D62" i="10"/>
  <c r="D61" i="10"/>
  <c r="D87" i="10"/>
  <c r="D86" i="10"/>
  <c r="D85" i="10"/>
  <c r="D84" i="10"/>
  <c r="D83" i="10"/>
  <c r="D82" i="10"/>
  <c r="D81" i="10"/>
  <c r="D80" i="10"/>
  <c r="D79" i="10"/>
  <c r="D78" i="10"/>
  <c r="D77" i="10"/>
  <c r="D76" i="10"/>
  <c r="D75" i="10"/>
  <c r="D74" i="10"/>
  <c r="D73" i="10"/>
  <c r="D72" i="10"/>
  <c r="D110" i="10"/>
  <c r="D109" i="10"/>
  <c r="D108" i="10"/>
  <c r="D107" i="10"/>
  <c r="D106" i="10"/>
  <c r="D105" i="10"/>
  <c r="D104" i="10"/>
  <c r="D103" i="10"/>
  <c r="D102" i="10"/>
  <c r="D101" i="10"/>
  <c r="D100" i="10"/>
  <c r="D99" i="10"/>
  <c r="D98" i="10"/>
  <c r="D97" i="10"/>
  <c r="D96" i="10"/>
  <c r="D95" i="10"/>
  <c r="D94" i="10"/>
  <c r="D93" i="10"/>
  <c r="D92" i="10"/>
  <c r="D91" i="10"/>
  <c r="D90" i="10"/>
  <c r="D89" i="10"/>
  <c r="D88" i="10"/>
  <c r="D111" i="10"/>
  <c r="D54" i="10"/>
  <c r="D53" i="10"/>
  <c r="D52" i="10"/>
  <c r="D51" i="10"/>
  <c r="D50" i="10"/>
  <c r="D43" i="10"/>
  <c r="D42" i="10"/>
  <c r="D41" i="10"/>
  <c r="D40" i="10"/>
  <c r="D39" i="10"/>
  <c r="D32" i="10"/>
  <c r="D31" i="10"/>
  <c r="B33" i="10"/>
  <c r="D33" i="10"/>
  <c r="B44" i="10"/>
  <c r="D44" i="10"/>
  <c r="B55" i="10"/>
  <c r="D55" i="10"/>
  <c r="B112" i="10"/>
  <c r="D112" i="10"/>
  <c r="B123" i="10"/>
  <c r="D123" i="10"/>
  <c r="B137" i="10"/>
  <c r="D137" i="10"/>
  <c r="B163" i="10"/>
  <c r="D163" i="10"/>
  <c r="D47" i="9"/>
  <c r="D46" i="9"/>
  <c r="D45" i="9"/>
  <c r="D44" i="9"/>
  <c r="D43" i="9"/>
  <c r="D42" i="9"/>
  <c r="D41" i="9"/>
  <c r="D40" i="9"/>
  <c r="D39" i="9"/>
  <c r="D33" i="9"/>
  <c r="D32" i="9"/>
  <c r="D31" i="9"/>
  <c r="D30" i="9"/>
  <c r="D29" i="9"/>
  <c r="D22" i="9"/>
  <c r="D21" i="9"/>
  <c r="D20" i="9"/>
  <c r="D19" i="9"/>
  <c r="D18" i="9"/>
  <c r="D17" i="9"/>
  <c r="D16" i="9"/>
  <c r="D15" i="9"/>
  <c r="D14" i="9"/>
  <c r="D13" i="9"/>
  <c r="B23" i="9"/>
  <c r="D23" i="9"/>
  <c r="B33" i="9"/>
  <c r="B48" i="9"/>
  <c r="D48" i="9"/>
  <c r="D37" i="8"/>
  <c r="D36" i="8"/>
  <c r="D35" i="8"/>
  <c r="D34" i="8"/>
  <c r="D33" i="8"/>
  <c r="D26" i="8"/>
  <c r="D25" i="8"/>
  <c r="D24" i="8"/>
  <c r="D23" i="8"/>
  <c r="D22" i="8"/>
  <c r="D21" i="8"/>
  <c r="D20" i="8"/>
  <c r="B27" i="8"/>
  <c r="D27" i="8"/>
  <c r="B37" i="8"/>
  <c r="D46" i="7"/>
  <c r="D45" i="7"/>
  <c r="D44" i="7"/>
  <c r="D43" i="7"/>
  <c r="D42" i="7"/>
  <c r="D41" i="7"/>
  <c r="D40" i="7"/>
  <c r="D39" i="7"/>
  <c r="D38" i="7"/>
  <c r="D37" i="7"/>
  <c r="D36" i="7"/>
  <c r="D35" i="7"/>
  <c r="D34" i="7"/>
  <c r="D33" i="7"/>
  <c r="B47" i="7"/>
  <c r="D47" i="7"/>
  <c r="D26" i="7"/>
  <c r="D25" i="7"/>
  <c r="B27" i="7"/>
  <c r="D27" i="7"/>
  <c r="D18" i="7"/>
  <c r="D17" i="7"/>
  <c r="D16" i="7"/>
  <c r="D15" i="7"/>
  <c r="D14" i="7"/>
  <c r="D13" i="7"/>
  <c r="D12" i="7"/>
  <c r="B19" i="7"/>
  <c r="D19" i="7"/>
  <c r="D28" i="6"/>
  <c r="D27" i="6"/>
  <c r="B29" i="6"/>
  <c r="D29" i="6"/>
  <c r="D38" i="6"/>
  <c r="D37" i="6"/>
  <c r="D36" i="6"/>
  <c r="D35" i="6"/>
  <c r="B39" i="6"/>
  <c r="D39" i="6"/>
  <c r="D13" i="6"/>
  <c r="D12" i="6"/>
  <c r="B14" i="6"/>
  <c r="D14" i="6"/>
  <c r="D37" i="5"/>
  <c r="D36" i="5"/>
  <c r="D35" i="5"/>
  <c r="D34" i="5"/>
  <c r="D33" i="5"/>
  <c r="D32" i="5"/>
  <c r="D31" i="5"/>
  <c r="D30" i="5"/>
  <c r="D29" i="5"/>
  <c r="B38" i="5"/>
  <c r="D38" i="5"/>
  <c r="B15" i="5"/>
  <c r="D15" i="5"/>
  <c r="D14" i="5"/>
  <c r="D13" i="5"/>
  <c r="D12" i="5"/>
  <c r="D63" i="4"/>
  <c r="D62" i="4"/>
  <c r="D61" i="4"/>
  <c r="D60" i="4"/>
  <c r="D59" i="4"/>
  <c r="D58" i="4"/>
  <c r="D57" i="4"/>
  <c r="B64" i="4"/>
  <c r="D64" i="4"/>
  <c r="D50" i="4"/>
  <c r="D49" i="4"/>
  <c r="D48" i="4"/>
  <c r="D47" i="4"/>
  <c r="D46" i="4"/>
  <c r="D45" i="4"/>
  <c r="B51" i="4"/>
  <c r="D51" i="4"/>
  <c r="D38" i="4"/>
  <c r="D37" i="4"/>
  <c r="D36" i="4"/>
  <c r="B39" i="4"/>
  <c r="D39" i="4"/>
  <c r="D29" i="4"/>
  <c r="D28" i="4"/>
  <c r="D27" i="4"/>
  <c r="D26" i="4"/>
  <c r="D25" i="4"/>
  <c r="D24" i="4"/>
  <c r="D23" i="4"/>
  <c r="D22" i="4"/>
  <c r="D21" i="4"/>
  <c r="D20" i="4"/>
  <c r="D19" i="4"/>
  <c r="B30" i="4"/>
  <c r="D30" i="4"/>
  <c r="D72" i="2"/>
  <c r="D71" i="2"/>
  <c r="D64" i="2"/>
  <c r="D63" i="2"/>
  <c r="D62" i="2"/>
  <c r="D61" i="2"/>
  <c r="D60" i="2"/>
  <c r="D59" i="2"/>
  <c r="D42" i="2"/>
  <c r="D41" i="2"/>
  <c r="D40" i="2"/>
  <c r="D39" i="2"/>
  <c r="D38" i="2"/>
  <c r="D37" i="2"/>
  <c r="D36" i="2"/>
  <c r="D35" i="2"/>
  <c r="D34" i="2"/>
  <c r="D33" i="2"/>
  <c r="D32" i="2"/>
  <c r="D31" i="2"/>
  <c r="D30" i="2"/>
  <c r="D29" i="2"/>
  <c r="D28" i="2"/>
  <c r="D27" i="2"/>
  <c r="D20" i="2"/>
  <c r="D19" i="2"/>
  <c r="D18" i="2"/>
  <c r="D17" i="2"/>
  <c r="B21" i="2"/>
  <c r="D21" i="2"/>
  <c r="B43" i="2"/>
  <c r="D43" i="2"/>
  <c r="B65" i="2"/>
  <c r="D65" i="2"/>
  <c r="B73" i="2"/>
  <c r="D73" i="2"/>
  <c r="D34" i="1"/>
  <c r="D33" i="1"/>
  <c r="D32" i="1"/>
  <c r="D31" i="1"/>
  <c r="D30" i="1"/>
  <c r="D29" i="1"/>
  <c r="D28" i="1"/>
  <c r="D21" i="1"/>
  <c r="D20" i="1"/>
  <c r="D19" i="1"/>
  <c r="D8" i="1"/>
  <c r="D7" i="1"/>
  <c r="D6" i="1"/>
  <c r="D46" i="1"/>
  <c r="D45" i="1"/>
  <c r="D54" i="1"/>
  <c r="D53" i="1"/>
  <c r="B9" i="1"/>
  <c r="D9" i="1"/>
  <c r="B22" i="1"/>
  <c r="D22" i="1"/>
  <c r="B35" i="1"/>
  <c r="D35" i="1"/>
  <c r="B55" i="1"/>
  <c r="D55" i="1"/>
  <c r="B47" i="1"/>
  <c r="D47" i="1"/>
  <c r="D70" i="3"/>
  <c r="D69" i="3"/>
  <c r="D68" i="3"/>
  <c r="D67" i="3"/>
  <c r="D66" i="3"/>
  <c r="D65" i="3"/>
  <c r="D58" i="3"/>
  <c r="D57" i="3"/>
  <c r="D50" i="3"/>
  <c r="D49" i="3"/>
  <c r="B51" i="3"/>
  <c r="D51" i="3"/>
  <c r="B59" i="3"/>
  <c r="D59" i="3"/>
  <c r="B71" i="3"/>
  <c r="D71" i="3"/>
  <c r="D38" i="3"/>
  <c r="D37" i="3"/>
  <c r="D36" i="3"/>
  <c r="D35" i="3"/>
  <c r="D34" i="3"/>
  <c r="D33" i="3"/>
  <c r="D32" i="3"/>
  <c r="D31" i="3"/>
  <c r="D30" i="3"/>
  <c r="D29" i="3"/>
  <c r="D28" i="3"/>
  <c r="D27" i="3"/>
  <c r="D26" i="3"/>
  <c r="D25" i="3"/>
  <c r="D24" i="3"/>
  <c r="B39" i="3"/>
  <c r="D39" i="3"/>
  <c r="D12" i="3"/>
  <c r="D11" i="3"/>
  <c r="D10" i="3"/>
  <c r="D9" i="3"/>
  <c r="D8" i="3"/>
  <c r="D7" i="3"/>
  <c r="D6" i="3"/>
  <c r="B13" i="3"/>
  <c r="D13" i="3"/>
  <c r="D24" i="11"/>
  <c r="D36" i="11"/>
</calcChain>
</file>

<file path=xl/sharedStrings.xml><?xml version="1.0" encoding="utf-8"?>
<sst xmlns="http://schemas.openxmlformats.org/spreadsheetml/2006/main" count="1643" uniqueCount="807">
  <si>
    <t>At-Large Trustee</t>
  </si>
  <si>
    <t xml:space="preserve">Blank Votes: </t>
  </si>
  <si>
    <t>Kauaÿi Resident Trustee</t>
  </si>
  <si>
    <t>Maui Resident Trustee</t>
  </si>
  <si>
    <t>Votes</t>
  </si>
  <si>
    <t>Molokaÿi Resident Trustee</t>
  </si>
  <si>
    <t>Hawaiÿi Resident Trustee</t>
  </si>
  <si>
    <t>At-Large Trustee (1)</t>
  </si>
  <si>
    <t>Oÿahu Resident Trustee</t>
  </si>
  <si>
    <t>At-Large Trustee (3)</t>
  </si>
  <si>
    <t>November 6, 2018</t>
  </si>
  <si>
    <t>August 11, 2018</t>
  </si>
  <si>
    <t>September 19, 1992</t>
  </si>
  <si>
    <t>November 3, 1992</t>
  </si>
  <si>
    <t>November 8, 1994</t>
  </si>
  <si>
    <t>September 17, 1994</t>
  </si>
  <si>
    <t>September 21, 1996</t>
  </si>
  <si>
    <t>November 5, 1996</t>
  </si>
  <si>
    <t>November 3, 1998</t>
  </si>
  <si>
    <t>September 19, 1998</t>
  </si>
  <si>
    <t>September 23, 2000</t>
  </si>
  <si>
    <t>November 7, 2000</t>
  </si>
  <si>
    <t>November 5, 2002</t>
  </si>
  <si>
    <t>September 21, 2002</t>
  </si>
  <si>
    <t>September 18, 2004</t>
  </si>
  <si>
    <t>November 2, 2004</t>
  </si>
  <si>
    <t>November 7, 2006</t>
  </si>
  <si>
    <t>September 23, 2006</t>
  </si>
  <si>
    <t>September 20, 2008</t>
  </si>
  <si>
    <t>November 4, 2008</t>
  </si>
  <si>
    <t>November 2, 2010</t>
  </si>
  <si>
    <t>September 18, 2010</t>
  </si>
  <si>
    <t>August 11, 2012</t>
  </si>
  <si>
    <t>November 6, 2012</t>
  </si>
  <si>
    <t>OHA Vacancy: Maui</t>
  </si>
  <si>
    <t>OHA - SP VAC AT LARGE (3)</t>
  </si>
  <si>
    <t>OHA - AT LARGE (1)</t>
  </si>
  <si>
    <t> 2.8%</t>
  </si>
  <si>
    <t>September</t>
  </si>
  <si>
    <t>SB0003 SD1 HD2 CD1 (CCR 15)</t>
  </si>
  <si>
    <t>RELATING TO THE OFFICE OF HAWAIIAN AFFAIRS.</t>
  </si>
  <si>
    <t>Introduced by: Hee C, Galuteria B</t>
  </si>
  <si>
    <t>Amends provisions relating to the election of board members. Requires the board of trustees of the office of Hawaii affairs to be nominated at a primary election and elected at the general election. -- Amends the term of office; vacancies. Requires the term of office of members of the board to be 4 years beginning on the day of the general election at which they are elected, or if elected at a primary election, on the day of the general election immediately following the primary election at which they are elected. -- Amends provisions relating to board of trustees, office of Hawaiian affairs. Repeals the provisions relating to special elections held in conjunction with the general election. -- SB0003 CD1</t>
  </si>
  <si>
    <t>Committee Reports: SSCR 373 (THA) SSCR 691 (JDL) HSCR 1019 (OMH) HSCR 1613 (JUD) CCR 15</t>
  </si>
  <si>
    <t>Current Status: Apr-30 13 Passed Legislature</t>
  </si>
  <si>
    <t>Section Affected: 13D-4, 13D-5, 17-7</t>
  </si>
  <si>
    <t>PRIMARY ELECTION 2018 - State of Hawaiÿi – Statewide</t>
  </si>
  <si>
    <t>GENERAL ELECTION 2018 - State of Hawaiÿi – Statewide</t>
  </si>
  <si>
    <t>OCTOBER TERM, 1999</t>
  </si>
  <si>
    <t>Syllabus</t>
  </si>
  <si>
    <t>RICE v. CAYETANO, GOVERNOR OF HAWAII</t>
  </si>
  <si>
    <t>CERTIORARI TO THE UNITED STATES COURT OF APPEALS FOR THE NINTH CIRCUIT</t>
  </si>
  <si>
    <t>No. 98-818. Argued October 6, 1999-Decided February 23, 2000</t>
  </si>
  <si>
    <t>The Hawaiian Constitution limits the right to vote for nine trustees chosen in a statewide election. The trustees compose the governing authority of a state agency known as the Office of Hawaiian Mfairs, or OHA. The agency administers programs designed for the benefit of two subclasses of Hawaiian citizenry, "Hawaiians" and "native Hawaiians." State law defines "native Hawaiians" as descendants of not less than one-half part of the races inhabiting the islands before 1778, and "Hawaiians"-a larger class that includes "native Hawaiians"-as descendants of the peoples inhabiting the Hawaiian Islands in 1778. The trustees are chosen in a statewide election in which only "Hawaiians" may vote. Petitioner Rice, a Hawaiian citizen without the requisite ancestry to be a "Hawaiian" under state law, applied to vote in OHA trustee elections. When his application was denied, he sued respondent Governor (hereinafter State), claiming, inter alia, that the voting exclusion was invalid under the Fourteenth and Fifteenth Amendments. The Federal District Court granted the State summary judgment. Surveying the history of the islands and their people, it determined that Congress and Hawaii have recognized a guardian-ward relationship with the native Hawaiians, which is analogous to the relationship between the United States and Indian tribes. It examined the voting qualifications with the latitude applied to legislation passed pursuant to Congress' power over Indian affairs, see Morton v. Mancari, 417 U. S. 535, and found that the electoral scheme was rationally related to the State's responsibility under its Admission Act to utilize a part of the proceeds from certain public lands for the native Hawaiians' benefit. The Ninth Circuit affirmed, finding that Hawaii "may rationally conclude that Hawaiians, being the group to whom trust obligations run and to whom OHA trustees owe a duty of loyalty, should be the group to decide who the trustees ought to be." 146 F.3d 1075, 1079.</t>
  </si>
  <si>
    <t>Held: Hawaii's denial of Rice's right to vote in OHA trustee elections violates the Fifteenth Amendment. Pp. 511-524.</t>
  </si>
  <si>
    <t>(a) The Amendment's purpose and command are set forth in explicit and comprehensive language. The National Government and the States may not deny or abridge the right to vote on account of race. The Amendment reaffirms the equality of races at the most basic level</t>
  </si>
  <si>
    <t>Votes Cast:</t>
  </si>
  <si>
    <t>* OHA races were not included in the Primary election until 2014</t>
  </si>
  <si>
    <t>1,5%</t>
  </si>
  <si>
    <t>November 2, 1982</t>
  </si>
  <si>
    <t>November 6, 1990</t>
  </si>
  <si>
    <t>November 6, 1984</t>
  </si>
  <si>
    <t>November 4, 1986</t>
  </si>
  <si>
    <t>November 8, 1988</t>
  </si>
  <si>
    <t>November 4, 1980</t>
  </si>
  <si>
    <t>At-Large Trustee (4)</t>
  </si>
  <si>
    <t>At-Large Trustee (3) 4-year</t>
  </si>
  <si>
    <t>At-Large Trustee (1) 2-year</t>
  </si>
  <si>
    <t>Voter Turnout</t>
  </si>
  <si>
    <t>Registered Voters OHA Elections</t>
  </si>
  <si>
    <t>September 22, 1990</t>
  </si>
  <si>
    <t>September 20, 1986</t>
  </si>
  <si>
    <t>September 22, 1984</t>
  </si>
  <si>
    <t>September 18,1982</t>
  </si>
  <si>
    <t>September 17, 1988</t>
  </si>
  <si>
    <r>
      <rPr>
        <b/>
        <sz val="10"/>
        <color theme="1"/>
        <rFont val="HawnHelv"/>
      </rPr>
      <t>Source:</t>
    </r>
    <r>
      <rPr>
        <sz val="10"/>
        <color theme="1"/>
        <rFont val="HawnHelv"/>
      </rPr>
      <t xml:space="preserve"> Hawaiÿi State. Office of Elections. http://files.hawaii.gov/elections/files/results/2018/primary/histatewide.pdf</t>
    </r>
  </si>
  <si>
    <r>
      <rPr>
        <b/>
        <sz val="10"/>
        <color theme="1"/>
        <rFont val="HawnHelv"/>
        <scheme val="minor"/>
      </rPr>
      <t xml:space="preserve">Source: </t>
    </r>
    <r>
      <rPr>
        <sz val="10"/>
        <color theme="1"/>
        <rFont val="HawnHelv"/>
        <scheme val="minor"/>
      </rPr>
      <t>Hawaiÿi State. Office of Elections. http://files.hawaii.gov/elections/files/results/2016/primary/histatewide.pdf</t>
    </r>
  </si>
  <si>
    <r>
      <rPr>
        <b/>
        <sz val="10"/>
        <color theme="1"/>
        <rFont val="HawnHelv"/>
        <scheme val="minor"/>
      </rPr>
      <t>Source:</t>
    </r>
    <r>
      <rPr>
        <sz val="10"/>
        <color theme="1"/>
        <rFont val="HawnHelv"/>
        <scheme val="minor"/>
      </rPr>
      <t xml:space="preserve"> Hawaiÿi State. Office of Elections. http://files.hawaii.gov/elections/files/results/2014/primary/histatewide.pdf</t>
    </r>
  </si>
  <si>
    <t>Over Votes:</t>
  </si>
  <si>
    <t>* These officials will serve four-year terms.  The others will serve two-year terms.</t>
  </si>
  <si>
    <t>PRIMARY ELECTION 1980 - State of Hawaiÿi – Statewide</t>
  </si>
  <si>
    <t>GENERAL ELECTION 1980 - State of Hawaiÿi – Statewide</t>
  </si>
  <si>
    <t>GENERAL ELECTION 1982 - State of Hawaiÿi – Statewide</t>
  </si>
  <si>
    <t>PRIMARY ELECTION 1982 - State of Hawaiÿi – Statewide</t>
  </si>
  <si>
    <t>GENERAL ELECTION 1984 - State of Hawaiÿi – Statewide</t>
  </si>
  <si>
    <t>PRIMARY ELECTION 1984 - State of Hawaiÿi – Statewide</t>
  </si>
  <si>
    <t>PRIMARY ELECTION 1986 - State of Hawaiÿi – Statewide</t>
  </si>
  <si>
    <t>GENERAL ELECTION 1986 - State of Hawaiÿi – Statewide</t>
  </si>
  <si>
    <t>PRIMARY ELECTION 1988 - State of Hawaiÿi – Statewide</t>
  </si>
  <si>
    <t>GENERAL ELECTION 1988 - State of Hawaiÿi – Statewide</t>
  </si>
  <si>
    <t>PRIMARY ELECTION 1990 - State of Hawaiÿi – Statewide</t>
  </si>
  <si>
    <t>GENERAL ELECTION 1990 - State of Hawaiÿi – Statewide</t>
  </si>
  <si>
    <t>PRIMARY ELECTION 1992 - State of Hawaiÿi – Statewide</t>
  </si>
  <si>
    <t>GENERAL ELECTION 1992 - State of Hawaiÿi – Statewide</t>
  </si>
  <si>
    <t>PRIMARY ELECTION 1994 - State of Hawaiÿi – Statewide</t>
  </si>
  <si>
    <t>GENERAL ELECTION 1994 - State of Hawaiÿi – Statewide</t>
  </si>
  <si>
    <t>GENERAL ELECTION 1996 - State of Hawaiÿi – Statewide</t>
  </si>
  <si>
    <t>PRIMARY ELECTION 1996 - State of Hawaiÿi – Statewide</t>
  </si>
  <si>
    <t>PRIMARY ELECTION 1998 - State of Hawaiÿi – Statewide</t>
  </si>
  <si>
    <t>GENERAL ELECTION 1998 - State of Hawaiÿi – Statewide</t>
  </si>
  <si>
    <t>PRIMARY ELECTION 2000 - State of Hawaiÿi – Statewide</t>
  </si>
  <si>
    <t>GENERAL ELECTION 2000 - State of Hawaiÿi – Statewide</t>
  </si>
  <si>
    <t>PRIMARY ELECTION 2002 - State of Hawaiÿi – Statewide</t>
  </si>
  <si>
    <t>GENERAL ELECTION 2002 - State of Hawaiÿi – Statewide</t>
  </si>
  <si>
    <t>GENERAL ELECTION 2004 - State of Hawaiÿi – Statewide</t>
  </si>
  <si>
    <t>PRIMARY ELECTION 2004 - State of Hawaiÿi – Statewide</t>
  </si>
  <si>
    <t>PRIMARY ELECTION 2006 - State of Hawaiÿi – Statewide</t>
  </si>
  <si>
    <t>GENERAL ELECTION 2006 - State of Hawaiÿi – Statewide</t>
  </si>
  <si>
    <t>PRIMARY ELECTION 2008 - State of Hawaiÿi – Statewide</t>
  </si>
  <si>
    <t>GENERAL ELECTION 2008 - State of Hawaiÿi – Statewide</t>
  </si>
  <si>
    <t>PRIMARY ELECTION 2010 - State of Hawaiÿi – Statewide</t>
  </si>
  <si>
    <t>GENERAL ELECTION 2010 - State of Hawaiÿi – Statewide</t>
  </si>
  <si>
    <t>PRIMARY ELECTION 2012 - State of Hawaiÿi – Statewide</t>
  </si>
  <si>
    <t>GENERAL ELECTION 2012 - State of Hawaiÿi – Statewide</t>
  </si>
  <si>
    <t>GENERAL ELECTION 2014 - State of Hawaiÿi – Statewide</t>
  </si>
  <si>
    <t>PRIMARY ELECTION 2014 - State of Hawaiÿi – Statewide</t>
  </si>
  <si>
    <t>GENERAL ELECTION 2016 - State of Hawaiÿi – Statewide</t>
  </si>
  <si>
    <t>PRIMARY ELECTION 2016 - State of Hawaiÿi – Statewide</t>
  </si>
  <si>
    <r>
      <rPr>
        <b/>
        <sz val="10"/>
        <rFont val="HawnHelv"/>
      </rPr>
      <t>Source:</t>
    </r>
    <r>
      <rPr>
        <sz val="10"/>
        <rFont val="HawnHelv"/>
      </rPr>
      <t xml:space="preserve"> Hawaiÿi State. Office of Elections. Results of Votes Cast, General Election, Tuesday, November 4, 1980, State of Hawaiÿi.</t>
    </r>
  </si>
  <si>
    <r>
      <rPr>
        <b/>
        <sz val="10"/>
        <rFont val="HawnHelv"/>
        <scheme val="minor"/>
      </rPr>
      <t xml:space="preserve">Source: </t>
    </r>
    <r>
      <rPr>
        <sz val="10"/>
        <rFont val="HawnHelv"/>
        <scheme val="minor"/>
      </rPr>
      <t>Hawaiÿi State. Office of Elections. Results of Votes Cast, General Election, Tuesday, November 2, 1982, State of Hawaiÿi.</t>
    </r>
  </si>
  <si>
    <r>
      <rPr>
        <b/>
        <sz val="10"/>
        <rFont val="HawnHelv"/>
      </rPr>
      <t xml:space="preserve">Source: </t>
    </r>
    <r>
      <rPr>
        <sz val="10"/>
        <rFont val="HawnHelv"/>
      </rPr>
      <t>Hawaiÿi State. Office of Elections. Results of Votes Cast, General Election, Tuesday, November 6, 1984, Statewide Summary Report.</t>
    </r>
  </si>
  <si>
    <r>
      <rPr>
        <b/>
        <sz val="10"/>
        <color theme="1"/>
        <rFont val="HawnHelv"/>
        <scheme val="minor"/>
      </rPr>
      <t xml:space="preserve">Source: </t>
    </r>
    <r>
      <rPr>
        <sz val="10"/>
        <color theme="1"/>
        <rFont val="HawnHelv"/>
        <scheme val="minor"/>
      </rPr>
      <t>Hawaiÿi State. Office of Elections. Results of Votes Cast, General Election and Special Elections for Board of Education, Board of Trustees of Office of Hawaiian Affairs, Tuesday, November 4, 1986, State of Hawaiÿi.</t>
    </r>
  </si>
  <si>
    <r>
      <rPr>
        <b/>
        <sz val="10"/>
        <rFont val="HawnHelv"/>
        <scheme val="minor"/>
      </rPr>
      <t xml:space="preserve">Source: </t>
    </r>
    <r>
      <rPr>
        <sz val="10"/>
        <rFont val="HawnHelv"/>
        <scheme val="minor"/>
      </rPr>
      <t>Hawaiÿi State. Office of Elections. Results of Votes Cast, General Election and Special Elections for Board of Education, Board of Trustees of Office of Hawaiian Affairs, Tuesday, November 8, 1988, State of Hawaiÿi.</t>
    </r>
  </si>
  <si>
    <r>
      <rPr>
        <b/>
        <sz val="10"/>
        <color theme="1"/>
        <rFont val="HawnHelv"/>
      </rPr>
      <t xml:space="preserve">Source: </t>
    </r>
    <r>
      <rPr>
        <sz val="10"/>
        <color theme="1"/>
        <rFont val="HawnHelv"/>
      </rPr>
      <t>Hawaiÿi State. Office of Elections. Results of Votes Cast, General Election and Special Elections for the Office of Hawaiian Affairs, November 6, 1990i.</t>
    </r>
  </si>
  <si>
    <r>
      <rPr>
        <b/>
        <sz val="10"/>
        <color theme="1"/>
        <rFont val="HawnHelv"/>
      </rPr>
      <t xml:space="preserve">Source: </t>
    </r>
    <r>
      <rPr>
        <sz val="10"/>
        <color theme="1"/>
        <rFont val="HawnHelv"/>
      </rPr>
      <t>Hawaiÿi State. Office of Elections. http://files.hawaii.gov/elections/files/results/1992/general/histatewide.pdf</t>
    </r>
  </si>
  <si>
    <r>
      <rPr>
        <b/>
        <sz val="10"/>
        <color theme="1"/>
        <rFont val="HawnHelv"/>
      </rPr>
      <t xml:space="preserve">Source: </t>
    </r>
    <r>
      <rPr>
        <sz val="10"/>
        <color theme="1"/>
        <rFont val="HawnHelv"/>
      </rPr>
      <t>Hawaiÿi State. Office of Elections. http://files.hawaii.gov/elections/files/results/1994/general/histatewide.pdf</t>
    </r>
  </si>
  <si>
    <r>
      <rPr>
        <b/>
        <sz val="10"/>
        <color theme="1"/>
        <rFont val="HawnHelv"/>
      </rPr>
      <t>Source:</t>
    </r>
    <r>
      <rPr>
        <sz val="10"/>
        <color theme="1"/>
        <rFont val="HawnHelv"/>
      </rPr>
      <t xml:space="preserve"> Hawaiÿi State. Office of Elections. http://files.hawaii.gov/elections/files/results/1996/general/histatewide.pdf</t>
    </r>
  </si>
  <si>
    <r>
      <rPr>
        <b/>
        <sz val="10"/>
        <color theme="1"/>
        <rFont val="HawnHelv"/>
      </rPr>
      <t>Source:</t>
    </r>
    <r>
      <rPr>
        <sz val="10"/>
        <color theme="1"/>
        <rFont val="HawnHelv"/>
      </rPr>
      <t xml:space="preserve"> Hawaiÿi State. Office of Elections. http://files.hawaii.gov/elections/files/results/1998/general/histatewide.pdf</t>
    </r>
  </si>
  <si>
    <r>
      <rPr>
        <b/>
        <sz val="10"/>
        <color theme="1"/>
        <rFont val="HawnHelv"/>
        <scheme val="minor"/>
      </rPr>
      <t xml:space="preserve">Source: </t>
    </r>
    <r>
      <rPr>
        <sz val="10"/>
        <color theme="1"/>
        <rFont val="HawnHelv"/>
        <scheme val="minor"/>
      </rPr>
      <t>Hawaiÿi State. Office of Elections. http://files.hawaii.gov/elections/files/results/2000/general/histatewide.pdf</t>
    </r>
  </si>
  <si>
    <r>
      <rPr>
        <b/>
        <sz val="10"/>
        <color theme="1"/>
        <rFont val="HawnHelv"/>
      </rPr>
      <t>Source:</t>
    </r>
    <r>
      <rPr>
        <sz val="10"/>
        <color theme="1"/>
        <rFont val="HawnHelv"/>
      </rPr>
      <t xml:space="preserve"> Hawaiÿi State. Office of Elections. http://files.hawaii.gov/elections/files/results/2002/general/histatewide.pdf</t>
    </r>
  </si>
  <si>
    <r>
      <rPr>
        <b/>
        <sz val="10"/>
        <color theme="1"/>
        <rFont val="HawnHelv"/>
      </rPr>
      <t>Source:</t>
    </r>
    <r>
      <rPr>
        <sz val="10"/>
        <color theme="1"/>
        <rFont val="HawnHelv"/>
      </rPr>
      <t xml:space="preserve"> Hawaiÿi State. Office of Elections. http://files.hawaii.gov/elections/files/results/2004/general/histatewide.pdf</t>
    </r>
  </si>
  <si>
    <r>
      <rPr>
        <b/>
        <sz val="10"/>
        <color theme="1"/>
        <rFont val="HawnHelv"/>
      </rPr>
      <t xml:space="preserve">Source: </t>
    </r>
    <r>
      <rPr>
        <sz val="10"/>
        <color theme="1"/>
        <rFont val="HawnHelv"/>
      </rPr>
      <t>Hawaiÿi State. Office of Elections. http://files.hawaii.gov/elections/files/results/2004/general/histatewide.pdf</t>
    </r>
  </si>
  <si>
    <r>
      <rPr>
        <b/>
        <sz val="10"/>
        <color theme="1"/>
        <rFont val="HawnHelv"/>
      </rPr>
      <t>Source:</t>
    </r>
    <r>
      <rPr>
        <sz val="10"/>
        <color theme="1"/>
        <rFont val="HawnHelv"/>
      </rPr>
      <t xml:space="preserve"> Hawaiÿi State. Office of Elections. http://files.hawaii.gov/elections/files/results/2008/general/histatewide.pdf</t>
    </r>
  </si>
  <si>
    <r>
      <rPr>
        <b/>
        <sz val="10"/>
        <color theme="1"/>
        <rFont val="HawnHelv"/>
      </rPr>
      <t xml:space="preserve">Source: </t>
    </r>
    <r>
      <rPr>
        <sz val="10"/>
        <color theme="1"/>
        <rFont val="HawnHelv"/>
      </rPr>
      <t>Hawaiÿi State. Office of Elections. http://files.hawaii.gov/elections/files/results/2010/general/histatewide.pdf</t>
    </r>
  </si>
  <si>
    <r>
      <rPr>
        <b/>
        <sz val="10"/>
        <color theme="1"/>
        <rFont val="HawnHelv"/>
      </rPr>
      <t>Source:</t>
    </r>
    <r>
      <rPr>
        <sz val="10"/>
        <color theme="1"/>
        <rFont val="HawnHelv"/>
      </rPr>
      <t xml:space="preserve"> Hawaiÿi State. Office of Elections. http://files.hawaii.gov/elections/files/results/2012/general/histatewide.pdf</t>
    </r>
  </si>
  <si>
    <t>OHA - Hawaiÿi (1)</t>
  </si>
  <si>
    <t>OHA - Kauaÿi (1)</t>
  </si>
  <si>
    <t>OHA - SP VAC Oÿahu (1)</t>
  </si>
  <si>
    <t>OHA - SP VAC Maui  (1)</t>
  </si>
  <si>
    <t>* One (1) candidate: the candidate will be deemed elected at the close of candidate filing</t>
  </si>
  <si>
    <t>* Two (2) candidates: the candidates will appear on the general election ballot</t>
  </si>
  <si>
    <t>* Three (3) or more candidates: the candidates will appear on the primary election ballot. If a candidate receives majority of the votes cast, excluding blank and over votes, then the candidate is deemed elected</t>
  </si>
  <si>
    <t>* If no candidate receives a majority of the votes cast, then the six (6) candidates receiving the most votes will appear on the general election ballot.</t>
  </si>
  <si>
    <t>PRIMARY ELECTION 2020 - State of Hawaiÿi – Statewide</t>
  </si>
  <si>
    <t>GENERAL ELECTION 2020 - State of Hawaiÿi – Statewide</t>
  </si>
  <si>
    <t>* In accordance with the U.S. Supreme Court ruling in Rice v. Cayetano, all registered voters are qualified to vote in OHA elections.</t>
  </si>
  <si>
    <t>* If a candidate receives majority of the votes cast, excluding blank and over votes, then the candidate is deemed elected.</t>
  </si>
  <si>
    <r>
      <rPr>
        <b/>
        <sz val="10"/>
        <color theme="1"/>
        <rFont val="HawnHelv"/>
      </rPr>
      <t>Source:</t>
    </r>
    <r>
      <rPr>
        <sz val="10"/>
        <color theme="1"/>
        <rFont val="HawnHelv"/>
      </rPr>
      <t xml:space="preserve"> Hawaiÿi State. Office of Elections.  
https://elections.hawaii.gov/wp-content/results/histatewide.pdf</t>
    </r>
  </si>
  <si>
    <t>% Valid Votes Cast</t>
  </si>
  <si>
    <t>% Total Votes Cast</t>
  </si>
  <si>
    <t>* Until 2000, OHA elections were limited to Native Hawaiians who had registered to vote in the OHA elections.</t>
  </si>
  <si>
    <t xml:space="preserve">Board of Trustees (BOT), Office of Hawaiian Affairs (OHA) </t>
  </si>
  <si>
    <t>The Office of Hawaiian Affairs (OHA) was established during the 1978 Hawaiÿi State Constitutional Convention.  It was the product of a growing desire of Native Hawaiians to have greater self-determination in self-governance, preserving Native Hawaiian culture and in protecting of Native Hawaiian rights.</t>
  </si>
  <si>
    <t xml:space="preserve">The laws which empower the Office of Hawaiian Affairs is codified in Hawaiÿi Revised Statutes (HRS), Chapter 10.  Chapter 10 outlines the duties, responsibilities and authority of the office, as well as, who is to govern the Office.  Section 10-7 Board of Trustees of Chapter 10, states: </t>
  </si>
  <si>
    <t>The office of Hawaiian affairs shall be governed by a board to be officially known as the board of trustees, office of Hawaiian affairs. Members of the board shall be elected in accordance with chapter 13D, with reference to sections 11 15, 11 25, 12 5, 12 6, and vacancies shall be filled in accordance with section 17 7. [L 1979, c 196, pt of §2]</t>
  </si>
  <si>
    <t>The OHA Board of Trustees (BOT) is constituted of nine (9) members.   Board members are elected for four-year terms.  They represent the Islands of Hawaiÿi, Kauaÿi, Oÿahu, Molokaÿi, Maui, and four (4) At-Large members.  The five board members representing an island are required to be a resident of the island they represent.  The At-Large members do not have a residency requirement.  To prevent disorder resulting by the possible mass turnover of board members during a single election, one-half of the board seats are open for election every two years.  During one election cycle four seats are up for election: Kauaÿi, Molokaÿi, Hawaiÿi Island, and one at-large.  Two years later during the next election cycle the remaining seats are open for election, Oÿahu, Maui, and the three at-large.</t>
  </si>
  <si>
    <t xml:space="preserve">In early OHA elections, OHA BOT candidates only participated in the state’s general election.  The candidates receiving the most votes won the seat.  The second major change came from the Hawaiÿi State Legislature in 2013.  A bill was passed requiring the board of trustees of the Office of Hawaiian Affairs to be nominated at a primary election and elected at the general election.  Beginning with the 2014 election, candidates for OHA seats participated in the primary and general elections. </t>
  </si>
  <si>
    <t>Office of Hawaiian Affairs Elections</t>
  </si>
  <si>
    <t>The Office of Hawaiian Affairs (OHA) is a public agency governed by a Board of Trustees responsible for setting policy and managing the agency’s trust.</t>
  </si>
  <si>
    <t>The Board of Trustees is composed of nine (9) members who are elected to serve four (4) year terms. All voters statewide are allowed to vote in each OHA contest.</t>
  </si>
  <si>
    <t>Four (4) seats on the Board are at-large trustees. The remaining five (5) seats are resident trustees with one (1) trustee from each of the following islands - Hawaii, Maui, Molokai, Oahu, and Kauai.</t>
  </si>
  <si>
    <t>Qualifications</t>
  </si>
  <si>
    <t>Candidates for OHA Trustee must be a:</t>
  </si>
  <si>
    <t>•  Registered voter of the State of Hawaii</t>
  </si>
  <si>
    <t>Election of Island Resident Trustee</t>
  </si>
  <si>
    <t>•  One (1) candidate: the candidate will be deemed elected at the close of candidate filing.</t>
  </si>
  <si>
    <t>•  Two (2) candidates: the candidates will appear on the general election ballot. The candidate receiving the most votes in the general election will be deemed elected.</t>
  </si>
  <si>
    <t>•  Three (3) or more candidates: the candidates will appear on the primary election ballot. If a candidate receives majority of the votes cast, excluding blank and over votes, then the candidate is deemed elected. Otherwise, the two (2) candidates receiving the most votes will appear on the general election ballot. The candidate receiving the most votes in the general election will be deemed elected.</t>
  </si>
  <si>
    <t>Election of At-Large Trustee(s)</t>
  </si>
  <si>
    <t>In a year with only one (1) at-large trustee seat on the ballot, the following occurs:</t>
  </si>
  <si>
    <t>•  Two (2) candidates: the candidates will bypass the primary election ballot and will instead appear on the general election ballot. The candidate receiving the most votes in the general election will be deemed elected.</t>
  </si>
  <si>
    <t>In a year with three (3) regularly scheduled at-large trustee seats on the ballot, the following occurs:</t>
  </si>
  <si>
    <t>•  Three (3) candidates: The candidates will be deemed elected at the close of candidate filing.</t>
  </si>
  <si>
    <t xml:space="preserve">•  Four (4), five (5), or six (6) candidates: the candidates will appear on the general election ballot. The three candidates receiving the most votes in the general election will be deemed elected.	</t>
  </si>
  <si>
    <t>•  Seven (7) or more candidates: the candidates will appear on the primary election ballot.</t>
  </si>
  <si>
    <r>
      <rPr>
        <sz val="11"/>
        <color theme="1"/>
        <rFont val="Calibri"/>
        <family val="2"/>
      </rPr>
      <t xml:space="preserve">□  </t>
    </r>
    <r>
      <rPr>
        <sz val="11"/>
        <color theme="1"/>
        <rFont val="HawnHelv"/>
        <scheme val="minor"/>
      </rPr>
      <t>If a candidate receives majority of the votes cast, excluding blank and over votes, then the candidate is deemed elected. The next four (4) candidates receiving the most votes will appear on the general election ballot. The two (2) candidates receiving the most votes in the general election will be deemed elected.</t>
    </r>
  </si>
  <si>
    <t>□  If no candidate receives a majority of the votes cast, then the six (6) candidates receiving the most votes will appear on the general election ballot. The three (3) candidates receiving the most votes in the general election will be deemed elected.</t>
  </si>
  <si>
    <t>For complete information, please refer to HRS Chapter 13D.</t>
  </si>
  <si>
    <t xml:space="preserve">Office of Elections </t>
  </si>
  <si>
    <t>802 Lehua Avenue</t>
  </si>
  <si>
    <t xml:space="preserve">Pearl City, Hawaii 96782 </t>
  </si>
  <si>
    <t>Phone: (808) 453-VOTE (8683)</t>
  </si>
  <si>
    <t xml:space="preserve">Neighbor Island Toll Free: 1-800-442-VOTE (8683) </t>
  </si>
  <si>
    <t>TTY: (808) 453-6150</t>
  </si>
  <si>
    <t>Over the years there have been major changes in the OHA election process.  Initially, only Native Hawaiians, “descendant of the aboriginal peoples inhabiting the Hawaiian Islands which exercised sovereignty and subsisted in the Hawaiian Islands in 1778, and which peoples thereafter have continued to reside in Hawaiÿi,” were eligible to register and participate in the OHA elections.</t>
  </si>
  <si>
    <t>In 1999, the US Supreme Court reviewed the case of Rice v. Cayetano.  A decision was made in early 2000.  In accordance with the U.S. Supreme court ruling, all registered voters are qualified to vote in OHA elections.  Starting with the 2000 elections, OHA elections were open to the entire Hawaiÿi electorate.</t>
  </si>
  <si>
    <r>
      <rPr>
        <sz val="11"/>
        <color rgb="FF000000"/>
        <rFont val="Calibri"/>
        <family val="2"/>
      </rPr>
      <t>•</t>
    </r>
    <r>
      <rPr>
        <sz val="11"/>
        <color rgb="FF000000"/>
        <rFont val="HawnHelv"/>
      </rPr>
      <t xml:space="preserve">  </t>
    </r>
    <r>
      <rPr>
        <sz val="11"/>
        <color rgb="FF000000"/>
        <rFont val="HawnHelv"/>
        <scheme val="minor"/>
      </rPr>
      <t>Resident of respective island for seats requiring residency</t>
    </r>
  </si>
  <si>
    <t>STATE OF  HAWAII                                                                                                                                                                                                       24 June 2016</t>
  </si>
  <si>
    <t>OFFICE OF ELECTIONS                                                                                                                                                                                           FS 136 BO 002</t>
  </si>
  <si>
    <t>Machado, Colette Piipii</t>
  </si>
  <si>
    <t>Kealoha, Samuel Lyons</t>
  </si>
  <si>
    <t>Ritte, Walter</t>
  </si>
  <si>
    <t>Keale, Moses K., Sr.</t>
  </si>
  <si>
    <t>Perry, Warren C. R.</t>
  </si>
  <si>
    <t>Kaiwi, Bene Hakaka K.</t>
  </si>
  <si>
    <t>Mansfield, Lopaka</t>
  </si>
  <si>
    <t>Smith, Henry E., Jr.</t>
  </si>
  <si>
    <t>Na'ea, Eric J., Sr.</t>
  </si>
  <si>
    <t>Rego, Randy S. Naukana</t>
  </si>
  <si>
    <t>Springer, Hannah K.</t>
  </si>
  <si>
    <t>Akaka, Moanikeala</t>
  </si>
  <si>
    <t>Kauhane, Francis N.</t>
  </si>
  <si>
    <t>Akamu-Scott, Loveymae</t>
  </si>
  <si>
    <t>Fergerstrom, Brudda Hank</t>
  </si>
  <si>
    <t>Apoliona, Haunani</t>
  </si>
  <si>
    <t>Kamali'i, Kina'u Boyd</t>
  </si>
  <si>
    <t>Watson, Bernie Mokihana</t>
  </si>
  <si>
    <t>Kalani, Dwayne K.</t>
  </si>
  <si>
    <t>Kekipi, Aloha Velma P.</t>
  </si>
  <si>
    <t>Herron, Nohealani</t>
  </si>
  <si>
    <t>Kipilii, Frank K.</t>
  </si>
  <si>
    <t>Manuel, Carlos Mahi</t>
  </si>
  <si>
    <t>Hee, Clayton</t>
  </si>
  <si>
    <t>Hao, Reggie K.</t>
  </si>
  <si>
    <t>Keala, Jalna</t>
  </si>
  <si>
    <t>Nahiai, Puhehala</t>
  </si>
  <si>
    <t>Heen, Ernest Nalani, Jr.</t>
  </si>
  <si>
    <t>Kana, Peter</t>
  </si>
  <si>
    <t>Hoohuli, Josiah L.</t>
  </si>
  <si>
    <t>Kalina, Leona Napuana</t>
  </si>
  <si>
    <t>Aiona, Abe (Chief)</t>
  </si>
  <si>
    <t>Kauhi, Henry (Hanale)</t>
  </si>
  <si>
    <t>Kahalehau, Clyde K.</t>
  </si>
  <si>
    <t>Au, Glenn G.</t>
  </si>
  <si>
    <t>Akana, Rowena Noelani</t>
  </si>
  <si>
    <t>Beamer,.Billie</t>
  </si>
  <si>
    <t>Desoto, Frenchy A.</t>
  </si>
  <si>
    <t>Hao, Louis</t>
  </si>
  <si>
    <t>Rubin, Winona E.</t>
  </si>
  <si>
    <t>Benham, Roy Ilikea</t>
  </si>
  <si>
    <t>Male'a, Alapaki Poai</t>
  </si>
  <si>
    <t>Trask, Arthur Kaukaohu</t>
  </si>
  <si>
    <t>Kahikina, Kamakakaulani</t>
  </si>
  <si>
    <t>Kalua, Bernard K.</t>
  </si>
  <si>
    <t>Tokuhara, Rochelle</t>
  </si>
  <si>
    <t>Kama, Natalie Tasha</t>
  </si>
  <si>
    <t>Apana, Melvin K.</t>
  </si>
  <si>
    <t>Stender, Stanley S.</t>
  </si>
  <si>
    <t>Dudoit, Ronnie K.</t>
  </si>
  <si>
    <t>Bird, Patsy Waipuna</t>
  </si>
  <si>
    <t>Pa, Josephine Leimamo</t>
  </si>
  <si>
    <t>Kapu, Kalani</t>
  </si>
  <si>
    <t>Kauhi, Gil (Zoulou)</t>
  </si>
  <si>
    <t>Dupont, Clyde</t>
  </si>
  <si>
    <t>Serrao, Joseph F.</t>
  </si>
  <si>
    <t>Tacuban, Rosemary</t>
  </si>
  <si>
    <t>Colburn, John F. (Boy)</t>
  </si>
  <si>
    <t>Gora, Amelia Kuulei</t>
  </si>
  <si>
    <t>Decker, Joel Olani</t>
  </si>
  <si>
    <t>Stone, Thomas K., Iii</t>
  </si>
  <si>
    <t>Noeau, Benjamin M.</t>
  </si>
  <si>
    <t>Tassill, Joe</t>
  </si>
  <si>
    <t>Gonzales, Jack Kamekona</t>
  </si>
  <si>
    <t>Pereira, Luika Lono</t>
  </si>
  <si>
    <t>Kamal'i, Kina'u Boyd</t>
  </si>
  <si>
    <t>Gill, Kawehi K.</t>
  </si>
  <si>
    <t>De Fries, Artha K.</t>
  </si>
  <si>
    <t>Pelekai, Ed Kuamu M</t>
  </si>
  <si>
    <t>Pa, Chauncey W.</t>
  </si>
  <si>
    <t>Poohlna, ERIC F.</t>
  </si>
  <si>
    <t>Sabey, John L. (Kione)</t>
  </si>
  <si>
    <t>Ross, Lllluokalanl</t>
  </si>
  <si>
    <t>Keanaalna, Marcel Kalei</t>
  </si>
  <si>
    <t>Keale, Moses K. (Moke)</t>
  </si>
  <si>
    <t>Pomroy, Sharon</t>
  </si>
  <si>
    <t>Purdy, Harry K., Ill</t>
  </si>
  <si>
    <t>Ragsdale, Walter</t>
  </si>
  <si>
    <t>Kahae, Martin Dean</t>
  </si>
  <si>
    <t>Grambusch, Llko Kamaicana</t>
  </si>
  <si>
    <t>Alcain, Bobby Makaiwi</t>
  </si>
  <si>
    <r>
      <t xml:space="preserve">Akana, Rowena </t>
    </r>
    <r>
      <rPr>
        <sz val="11"/>
        <color rgb="FF000000"/>
        <rFont val="HawnHelv"/>
      </rPr>
      <t xml:space="preserve">N. </t>
    </r>
  </si>
  <si>
    <t>Desoto, A. Frenchy</t>
  </si>
  <si>
    <t>Kanahele, Kamaki A,</t>
  </si>
  <si>
    <t>Burgess, Rod K.</t>
  </si>
  <si>
    <t>Wong, Edwina A.L.</t>
  </si>
  <si>
    <t>Dela Cruz, Linda K.</t>
  </si>
  <si>
    <t>Freitas, Bob</t>
  </si>
  <si>
    <t>Kamakea, Radine K</t>
  </si>
  <si>
    <t>Kekipi, Velma P.</t>
  </si>
  <si>
    <t>Peters, Sam M., Jr.</t>
  </si>
  <si>
    <t>Kepo'o, Arthur F.</t>
  </si>
  <si>
    <t>Apana, Abraham</t>
  </si>
  <si>
    <t>Kahaialii-Kaopio, K.</t>
  </si>
  <si>
    <t>Sallas. Dennis</t>
  </si>
  <si>
    <t>Peters. Wilson</t>
  </si>
  <si>
    <t>Wasson, Dawn</t>
  </si>
  <si>
    <t>Pratt, Herbert N.</t>
  </si>
  <si>
    <t>Manaku, James K.</t>
  </si>
  <si>
    <t>Aiona, Abe</t>
  </si>
  <si>
    <t>Maxwell, Charles K.</t>
  </si>
  <si>
    <t xml:space="preserve">Makekau, Clinton K. </t>
  </si>
  <si>
    <t>Kahaialii, Manu</t>
  </si>
  <si>
    <t>Ching, Clarence F. T.</t>
  </si>
  <si>
    <t>Kaina, Enoch N.</t>
  </si>
  <si>
    <t xml:space="preserve">Hodhuli, Josiah L. </t>
  </si>
  <si>
    <t xml:space="preserve">Nihipali, R. Kunani </t>
  </si>
  <si>
    <t>Hubbard, Lela M.</t>
  </si>
  <si>
    <t xml:space="preserve">Tanouye, Charles, Jr. </t>
  </si>
  <si>
    <t>Kaulukukui, Thomas K.</t>
  </si>
  <si>
    <t>Akana, Rowena N.</t>
  </si>
  <si>
    <t>Kupau, Ellamae</t>
  </si>
  <si>
    <t>Prejean, Kawaipuna P.</t>
  </si>
  <si>
    <t>Kalima, Eldowayne C. K.</t>
  </si>
  <si>
    <t>Sing, Albert K.</t>
  </si>
  <si>
    <t>Lindsey, Robert K.</t>
  </si>
  <si>
    <t>Kekoa, Tommy</t>
  </si>
  <si>
    <t>Keale, Moses M.</t>
  </si>
  <si>
    <t>Zablan, Liiwela N.</t>
  </si>
  <si>
    <t>Alcain, Robert M, M.</t>
  </si>
  <si>
    <t>Ching, Clarence, F.T.</t>
  </si>
  <si>
    <t>Delaney, Linda L</t>
  </si>
  <si>
    <t>Soller, S C Tony K</t>
  </si>
  <si>
    <t>Sing, Albert K</t>
  </si>
  <si>
    <t>Sellers, R Lunalilo</t>
  </si>
  <si>
    <t>Epstein, Pearl K</t>
  </si>
  <si>
    <t>Teruya, Christine K</t>
  </si>
  <si>
    <t>Desoto, A Frenchy</t>
  </si>
  <si>
    <t>Burgess, Rod K</t>
  </si>
  <si>
    <t>Ahoe, Kevin M K</t>
  </si>
  <si>
    <t>Ritte, Walter, Jr</t>
  </si>
  <si>
    <t>Ealoha, Garo</t>
  </si>
  <si>
    <t xml:space="preserve">Dela Cruz, Linda K </t>
  </si>
  <si>
    <t>Chun, Kaliko B</t>
  </si>
  <si>
    <t>Kinney, Richard P</t>
  </si>
  <si>
    <t>Holt, Robin</t>
  </si>
  <si>
    <t>Clark, Melvin K</t>
  </si>
  <si>
    <t>Mokiao, Myrtle M</t>
  </si>
  <si>
    <t>Kanui-Gill, Rita K</t>
  </si>
  <si>
    <t>Kepoo, Arthur</t>
  </si>
  <si>
    <t>Higa, Odetta M</t>
  </si>
  <si>
    <t>Studebaker, Viola K</t>
  </si>
  <si>
    <t>Fuller, Robert</t>
  </si>
  <si>
    <t>De Ocampo, Mary K</t>
  </si>
  <si>
    <t>Reis, Herman</t>
  </si>
  <si>
    <t>Prejean, Kawaipuna</t>
  </si>
  <si>
    <t>Rowland, James P, Jr</t>
  </si>
  <si>
    <t>Forbes, Yola Noelani M</t>
  </si>
  <si>
    <t>Kamakea, Radine Kawahine</t>
  </si>
  <si>
    <t>Iaea, Jack Noble, Jr</t>
  </si>
  <si>
    <t>Lasco, Raymond K</t>
  </si>
  <si>
    <t>Keale, Moses K</t>
  </si>
  <si>
    <t>Zablan, Liiwela Naukana</t>
  </si>
  <si>
    <t>Desha, Piilani C</t>
  </si>
  <si>
    <t>Kinney, Everett Sonny</t>
  </si>
  <si>
    <t>Coakley, Jeffrey Kalani</t>
  </si>
  <si>
    <t>Akana, Keith Kalani</t>
  </si>
  <si>
    <t>Benham, Roy L</t>
  </si>
  <si>
    <t>Hookano, Geo</t>
  </si>
  <si>
    <t>Agard, Louis</t>
  </si>
  <si>
    <t>Shim, Marion Healani H</t>
  </si>
  <si>
    <t>Cazimero, Tanny Makanani</t>
  </si>
  <si>
    <t>Kinney, Richard Pomaikai</t>
  </si>
  <si>
    <t>Kekipi, Velma P</t>
  </si>
  <si>
    <t>Kekaula, William Kelii</t>
  </si>
  <si>
    <t>Lii, Samuel</t>
  </si>
  <si>
    <t>Tiki, Varoa</t>
  </si>
  <si>
    <t>Seto, Ainsley Ulu</t>
  </si>
  <si>
    <t>Mia, George Hoolu</t>
  </si>
  <si>
    <t>Burgess, Hayden F</t>
  </si>
  <si>
    <t>Kealoha, Abe Lincoln, Jr</t>
  </si>
  <si>
    <t>Kealoha, Joe</t>
  </si>
  <si>
    <t>Leialoha, Benn</t>
  </si>
  <si>
    <t>Kinney, Everett K</t>
  </si>
  <si>
    <t>Chun-Seymour, Kaliko</t>
  </si>
  <si>
    <t>Papallmu, Joseph K</t>
  </si>
  <si>
    <t>Lee, Tuck  Wah  Kalei</t>
  </si>
  <si>
    <t>Ahuna-Hines, Nickie</t>
  </si>
  <si>
    <t>Agard, Buzzy Louis</t>
  </si>
  <si>
    <t>Hughes-Ho, Claire K</t>
  </si>
  <si>
    <t>Stagner, Ishmael W</t>
  </si>
  <si>
    <t>Kanui-Gill, Rita</t>
  </si>
  <si>
    <t>Park, Alvina Kailhou</t>
  </si>
  <si>
    <t>Loa, Maui</t>
  </si>
  <si>
    <t>Freitas, Rockne</t>
  </si>
  <si>
    <t>Kealoha, Gard</t>
  </si>
  <si>
    <t>Williams, Ilima Kauka</t>
  </si>
  <si>
    <t>Blake, Hartwell K</t>
  </si>
  <si>
    <t>Hoomanawanui, Mel</t>
  </si>
  <si>
    <t>Akimseu, E Maile</t>
  </si>
  <si>
    <t>Lui-Kwan, Tim</t>
  </si>
  <si>
    <t>Punikaia, Bernard K</t>
  </si>
  <si>
    <t>Kepo'o, Arthur</t>
  </si>
  <si>
    <t>Huihui, Valentine, Sr</t>
  </si>
  <si>
    <t>Kaiwi, Ed</t>
  </si>
  <si>
    <t>Rejean, Kawaipunaonakoa</t>
  </si>
  <si>
    <t>Hatchie, J Kalani</t>
  </si>
  <si>
    <t>Kekipi, Velha P</t>
  </si>
  <si>
    <t>Apo, Peter K</t>
  </si>
  <si>
    <t>Naluai, Clayton K</t>
  </si>
  <si>
    <t>Ayau, Henry Keawe, Jr</t>
  </si>
  <si>
    <t>Napoleon, Nathan Nihi</t>
  </si>
  <si>
    <t>Kealoha, Ernest</t>
  </si>
  <si>
    <t>Ahahikolo, Katherine K</t>
  </si>
  <si>
    <t>Ahmad, Abraham Puhipau A</t>
  </si>
  <si>
    <t>Kinney, Richard, Jr</t>
  </si>
  <si>
    <t>Nishimura, Pearl R</t>
  </si>
  <si>
    <t>Staton, Ihilani Chun</t>
  </si>
  <si>
    <t>Kala, William Kamana, Sr</t>
  </si>
  <si>
    <t>Keawe-Aiko, Ed P, Jr</t>
  </si>
  <si>
    <t>Gurczynski, Tethel</t>
  </si>
  <si>
    <t>Noa, Lawrence L</t>
  </si>
  <si>
    <t>Kuikahi, Harry Kanalulu</t>
  </si>
  <si>
    <t>Funn, Vernette R</t>
  </si>
  <si>
    <t>Lau, Charles Kealoha</t>
  </si>
  <si>
    <t>Kelii, Lester K</t>
  </si>
  <si>
    <t>Burrows, Moses H</t>
  </si>
  <si>
    <t>Nataniela, C Ulu-Mamala</t>
  </si>
  <si>
    <t>* Ritte, Walter, Jr</t>
  </si>
  <si>
    <t>Peters, Sam</t>
  </si>
  <si>
    <t>Maxwell, Charles K</t>
  </si>
  <si>
    <t>Hoopii, Richard K, Sr</t>
  </si>
  <si>
    <t>Lindsey, Mary Helen K</t>
  </si>
  <si>
    <t>Saffery, Nani Smythe</t>
  </si>
  <si>
    <t>Kealoha, Samuel L, Jr</t>
  </si>
  <si>
    <t>Mahoe, Cummins K</t>
  </si>
  <si>
    <t>Paahana, Rod Kaahanui</t>
  </si>
  <si>
    <t>Kahawaii, Hamby Akina</t>
  </si>
  <si>
    <t>Correa, Walter, Sr</t>
  </si>
  <si>
    <t>Lee, Harold K</t>
  </si>
  <si>
    <t>* Keale, Moses Moke</t>
  </si>
  <si>
    <t>Apana, Lovey L</t>
  </si>
  <si>
    <t>Aiu, Danita Mcgregor</t>
  </si>
  <si>
    <t>Kapaka, Lafrance Keahi</t>
  </si>
  <si>
    <t>* Solomon, Malama</t>
  </si>
  <si>
    <t>Naope, George L</t>
  </si>
  <si>
    <t>Napeahi, Abbie</t>
  </si>
  <si>
    <t>Kaupu, Julia K</t>
  </si>
  <si>
    <t>Akimseu, Maile Kukahiko</t>
  </si>
  <si>
    <t>Kekua, John C, Jr</t>
  </si>
  <si>
    <t>Kalanui, Gene K</t>
  </si>
  <si>
    <t>Tom, Keith Kalanimau</t>
  </si>
  <si>
    <t>Dart, Nina Kekaula</t>
  </si>
  <si>
    <t>Chang, Art Baxter</t>
  </si>
  <si>
    <t>Lee, Tanya Nakea</t>
  </si>
  <si>
    <t>Yost, Ralph L</t>
  </si>
  <si>
    <t>* Desoto, A. Frenchy</t>
  </si>
  <si>
    <t>Kaulukukui, Thomas</t>
  </si>
  <si>
    <t>Lee, Tuck Wah Kalei</t>
  </si>
  <si>
    <t>Lum, Eugene K H</t>
  </si>
  <si>
    <t>Holt, Sam N</t>
  </si>
  <si>
    <t>Akana, Albert</t>
  </si>
  <si>
    <t>Mossman, Malie I</t>
  </si>
  <si>
    <t>Ching, Clarence</t>
  </si>
  <si>
    <t>Ihara, Violet Ku'ulei P</t>
  </si>
  <si>
    <t>Tiwanak, Eugene Naoua</t>
  </si>
  <si>
    <t>Hoohanawanui, Mel</t>
  </si>
  <si>
    <t>Aweau, Norman Paahana</t>
  </si>
  <si>
    <t>Aluli, Kepoikai</t>
  </si>
  <si>
    <t>Topolinski, John R K</t>
  </si>
  <si>
    <t>Naki, Tom Kaawa</t>
  </si>
  <si>
    <t>Henrickson, George</t>
  </si>
  <si>
    <t>Kalahiki, Melvin D</t>
  </si>
  <si>
    <t>Hao, Joseph Kahae</t>
  </si>
  <si>
    <t>Morrison, Tita Wynne</t>
  </si>
  <si>
    <t>Kanahele, Dennis K</t>
  </si>
  <si>
    <t>Kamana, John Squeeze, Jr</t>
  </si>
  <si>
    <t>Boyd, Stewart K</t>
  </si>
  <si>
    <t>Aiona, George</t>
  </si>
  <si>
    <t>Mitchell, Billy K</t>
  </si>
  <si>
    <t>Kuloloio, Leslie A</t>
  </si>
  <si>
    <t>Chun, Arthur B</t>
  </si>
  <si>
    <t>Agard, Buzzy Louis Kane</t>
  </si>
  <si>
    <t>Solomon, Hilton Moanalii</t>
  </si>
  <si>
    <t>Kidder, Arnold Kekamalei</t>
  </si>
  <si>
    <t>Bray, Brandon Kalei</t>
  </si>
  <si>
    <t>Kalama, Ed Keliikauwila</t>
  </si>
  <si>
    <t>Hew Len, Stanley G</t>
  </si>
  <si>
    <t>Lee, Adeline Maunupau</t>
  </si>
  <si>
    <t>Haake, Richard H, Jr</t>
  </si>
  <si>
    <t>Akina, Alvin Auhana, Jr</t>
  </si>
  <si>
    <t>Hoapili, Clara K</t>
  </si>
  <si>
    <t>Aea-Chang, Hansel</t>
  </si>
  <si>
    <t>Teves, Kalai Aluli</t>
  </si>
  <si>
    <t>Makekau, Clint K</t>
  </si>
  <si>
    <t>Niheu, Hanalei Kihei</t>
  </si>
  <si>
    <t>Hakanui, Barbara J</t>
  </si>
  <si>
    <t>Lng, Sterling D</t>
  </si>
  <si>
    <t>Kanekoa, Mitchell</t>
  </si>
  <si>
    <t>Han, Ronald Paaluhi</t>
  </si>
  <si>
    <t>Hanakahi, L Kaipo</t>
  </si>
  <si>
    <t>Kaauwai, Pearl F Hlpa</t>
  </si>
  <si>
    <t>Kepoo, Arthur F</t>
  </si>
  <si>
    <t>Alani-Tung Loong, Marvn</t>
  </si>
  <si>
    <t>Amaral, John Kaluupa</t>
  </si>
  <si>
    <t>Kahaunu. Alden H K</t>
  </si>
  <si>
    <t>Nahalea, Nona A</t>
  </si>
  <si>
    <t>Haugen, Carmen S</t>
  </si>
  <si>
    <t xml:space="preserve">Kupau, Ellie </t>
  </si>
  <si>
    <t>Nauhu-Stewart, Judy</t>
  </si>
  <si>
    <t>Kapana, Abraham, Sr</t>
  </si>
  <si>
    <r>
      <t>Kaiu,</t>
    </r>
    <r>
      <rPr>
        <sz val="11"/>
        <color rgb="FFAFAFAF"/>
        <rFont val="HawnHelv"/>
      </rPr>
      <t xml:space="preserve"> </t>
    </r>
    <r>
      <rPr>
        <sz val="11"/>
        <color rgb="FF232323"/>
        <rFont val="HawnHelv"/>
      </rPr>
      <t xml:space="preserve">David  </t>
    </r>
  </si>
  <si>
    <t>Ono, Solomon P, Sr</t>
  </si>
  <si>
    <t>Bither, S K P Varda-Tiki</t>
  </si>
  <si>
    <t>Hatchie, Kalani K J</t>
  </si>
  <si>
    <t>De Ocampo, Mary Kukahiwa</t>
  </si>
  <si>
    <t>Huihui. Abel</t>
  </si>
  <si>
    <t>Lum, Milnor</t>
  </si>
  <si>
    <t>Keaulana, Hoke</t>
  </si>
  <si>
    <t>Kekipi, Velha Meyer</t>
  </si>
  <si>
    <t>Gomez, Margie Iona</t>
  </si>
  <si>
    <t>Kawelo, Frankie Kay</t>
  </si>
  <si>
    <t>Kepoo, Arthur O K K</t>
  </si>
  <si>
    <t>Chrones, Philip Landgraf</t>
  </si>
  <si>
    <t>Jacosalem, Brice Kahoano</t>
  </si>
  <si>
    <t>Manners, Alexander Louis</t>
  </si>
  <si>
    <t>Ventura, Roy</t>
  </si>
  <si>
    <t>Hanuel, Maximo P</t>
  </si>
  <si>
    <t>Kipilii, Franklin</t>
  </si>
  <si>
    <t>Nakihel, Sarah Mamane</t>
  </si>
  <si>
    <t>Fllimo'atu, Kehau Lum</t>
  </si>
  <si>
    <t>Amaral, Annelle C.</t>
  </si>
  <si>
    <t>Hao, Reginald</t>
  </si>
  <si>
    <t>Kiyohiro, Larry Joy</t>
  </si>
  <si>
    <t>Agard, Louis K. (Buzzy)</t>
  </si>
  <si>
    <t>Among, Les A.</t>
  </si>
  <si>
    <t>Kaho'ohanohano, David E.</t>
  </si>
  <si>
    <t>Campos, Herbert Kuualoha</t>
  </si>
  <si>
    <t>Kalalau, Sam Iii</t>
  </si>
  <si>
    <t>Kia-Kirland, Rose Kaloke</t>
  </si>
  <si>
    <t>Trask, Mililani</t>
  </si>
  <si>
    <t>Kamauu, Mahealani</t>
  </si>
  <si>
    <t>Carpenter, Dante Keala</t>
  </si>
  <si>
    <t>Aiona, Darrow L.</t>
  </si>
  <si>
    <t>Kealoha, Samuel L., Jr.</t>
  </si>
  <si>
    <t>Watson, B. Mokihana</t>
  </si>
  <si>
    <t>Wong, Jimmy</t>
  </si>
  <si>
    <t>Aiona, Leonard (Chief)</t>
  </si>
  <si>
    <t>Kaleikini, Lovell F.</t>
  </si>
  <si>
    <t>Kalua, Virginia Halemano</t>
  </si>
  <si>
    <t>Cluney,Sam</t>
  </si>
  <si>
    <t>Kamau, William K., Iii</t>
  </si>
  <si>
    <t>Kekai, Hank (Kupuna)</t>
  </si>
  <si>
    <t>Pa, Leimamo Josephine</t>
  </si>
  <si>
    <t>Wongham, Greg</t>
  </si>
  <si>
    <t>Montgomery, Bill</t>
  </si>
  <si>
    <t>Napeahi, Kanak</t>
  </si>
  <si>
    <t>Dela Cruz, Stewart</t>
  </si>
  <si>
    <t>Meyers, Willy</t>
  </si>
  <si>
    <t>Shibata-Kailianu,Raynette</t>
  </si>
  <si>
    <t>Prigge, Joseph, Jr.</t>
  </si>
  <si>
    <t>Machado, Colette Y. Piipii</t>
  </si>
  <si>
    <t>Cataluna, Don</t>
  </si>
  <si>
    <t>Beniamina, Jean Ilei Keale</t>
  </si>
  <si>
    <t>Torio, James Kapule</t>
  </si>
  <si>
    <t>Oclit, Eloise Kaneakua Tutu</t>
  </si>
  <si>
    <t>Springer, Hannah (Kihalani)</t>
  </si>
  <si>
    <t>Hoke, Arthur A.</t>
  </si>
  <si>
    <t>Kuamo'o, Aileen M.</t>
  </si>
  <si>
    <t>Hall, Kainoa J.</t>
  </si>
  <si>
    <t>Stender, Oswald K.</t>
  </si>
  <si>
    <t>Akana, Rowena M.N.</t>
  </si>
  <si>
    <t>Waihe'e, John D., Iv</t>
  </si>
  <si>
    <t>Trask, Mililani B.</t>
  </si>
  <si>
    <t>Olds, Nalani</t>
  </si>
  <si>
    <t>Lee, Richard</t>
  </si>
  <si>
    <t>Tungpalan, Eloise Ululani Y</t>
  </si>
  <si>
    <t>Brandt, Nani G.</t>
  </si>
  <si>
    <t>Kaapu, Kekoa David Jr.</t>
  </si>
  <si>
    <t>Kamakawiwoole, Reynolds N.</t>
  </si>
  <si>
    <t>Kotomori, Janet</t>
  </si>
  <si>
    <t>De Costa, Denise Mahealani</t>
  </si>
  <si>
    <t>Mcgregor, Bob</t>
  </si>
  <si>
    <t>Rose, Charles (Kale Loke)</t>
  </si>
  <si>
    <t>Bates, Beverly R.</t>
  </si>
  <si>
    <t>Hubbard, Lela Malina</t>
  </si>
  <si>
    <t>Akina, Crayn Kauahi</t>
  </si>
  <si>
    <t>Giles, Jason C.</t>
  </si>
  <si>
    <t>Ebisu, Tulane E.</t>
  </si>
  <si>
    <t>Ebel, Bud</t>
  </si>
  <si>
    <t>Kauhane, Mike</t>
  </si>
  <si>
    <t>Keliiholokai, Jennifer</t>
  </si>
  <si>
    <t>Morrison, Harriet Ilima</t>
  </si>
  <si>
    <t>Greenwood, Alice U. Oupnui</t>
  </si>
  <si>
    <t>Evans, Kimo Keanu</t>
  </si>
  <si>
    <t>Park, Bernadette (Akiona)</t>
  </si>
  <si>
    <t>Peabody, George (Aloha)</t>
  </si>
  <si>
    <t>Gora, Francis Keoua</t>
  </si>
  <si>
    <t>Hanalei, Ralph (Hana)</t>
  </si>
  <si>
    <t>Burke, Gene P. K. (Kini)</t>
  </si>
  <si>
    <t>Haia, Thomas A.K.</t>
  </si>
  <si>
    <t>Kanekoa, Mitchell Iii</t>
  </si>
  <si>
    <t>Padeken, Charmaine H.</t>
  </si>
  <si>
    <t>Tiwanak, Eric Kuualoha</t>
  </si>
  <si>
    <t>Schneider, Loyson Earll</t>
  </si>
  <si>
    <t>Kupau, O.</t>
  </si>
  <si>
    <t>Palcic, Michael (Big Mike)</t>
  </si>
  <si>
    <t>Yin, Thomas M.</t>
  </si>
  <si>
    <t>Fina'i, Charl Kaleialohaona</t>
  </si>
  <si>
    <t>Peltier, Victor (Umi)</t>
  </si>
  <si>
    <t>Caires, Gordon Kona</t>
  </si>
  <si>
    <t>Malterre, Walter G.</t>
  </si>
  <si>
    <t>Sabey, John L.</t>
  </si>
  <si>
    <t>Toler, Dustin</t>
  </si>
  <si>
    <t>Keliiholokai, Demitrius</t>
  </si>
  <si>
    <t>Elderts, Maitland P. K.</t>
  </si>
  <si>
    <t>Takamine, Vicky Holt</t>
  </si>
  <si>
    <t>Thompson, Richard</t>
  </si>
  <si>
    <t>Murata, Todd</t>
  </si>
  <si>
    <t>Ota, Charles S.</t>
  </si>
  <si>
    <t>Kalalau, Sam</t>
  </si>
  <si>
    <t>Kaahumanu, Laki P.</t>
  </si>
  <si>
    <t>Clubb, Genevieve (Lehua)</t>
  </si>
  <si>
    <t>Rust, Jimmy</t>
  </si>
  <si>
    <t>Grantham, Roger L.</t>
  </si>
  <si>
    <t>Pelekai, Edward P.</t>
  </si>
  <si>
    <t>Aiona, Darrow L. Kanakanui</t>
  </si>
  <si>
    <t>Conklin, Kenneth R.</t>
  </si>
  <si>
    <t>Lee, Brian Akana</t>
  </si>
  <si>
    <t>Robinson, Thurston</t>
  </si>
  <si>
    <t>Ka'auwai-Iwamoto, Linda</t>
  </si>
  <si>
    <t>Akau, Lucy</t>
  </si>
  <si>
    <t>Waiwai'ole, Healani G. G.</t>
  </si>
  <si>
    <t>Stone, Nancy (Pohaku)</t>
  </si>
  <si>
    <t>Kama, Peter</t>
  </si>
  <si>
    <t>Naluai, D. Keala (Dottie)</t>
  </si>
  <si>
    <t>Clark, Kauila</t>
  </si>
  <si>
    <t>Kalua, V. Halemano</t>
  </si>
  <si>
    <t>Kahui, Craig (Bo)</t>
  </si>
  <si>
    <t>Kapele, Jay Jay (Jeff)</t>
  </si>
  <si>
    <t>Haupu, Wave</t>
  </si>
  <si>
    <t>Amsterdam, Kaui Jochanan</t>
  </si>
  <si>
    <t>Stender, Oswald (Oz)</t>
  </si>
  <si>
    <t>Akana, Rowena M. Noela</t>
  </si>
  <si>
    <t>Waihe`E, John D. Iv</t>
  </si>
  <si>
    <t>Aiona, Darrow L. Kanak</t>
  </si>
  <si>
    <t>Hanohano, Mike (Happy)</t>
  </si>
  <si>
    <t>Nakoa, Charles M.L.S.</t>
  </si>
  <si>
    <t>Kamali`I, Adrian Kamal</t>
  </si>
  <si>
    <t>Keliiholokai, Demetriu</t>
  </si>
  <si>
    <t>Mossman, Boyd P.</t>
  </si>
  <si>
    <t>Wilcox, Robert K., Iv</t>
  </si>
  <si>
    <t>Kaimiola, George Manulani</t>
  </si>
  <si>
    <t>Kahaialii, Wilmont K., Jr.</t>
  </si>
  <si>
    <t>Kalima, Leona Mapuana</t>
  </si>
  <si>
    <t>Shim, Marion Heen</t>
  </si>
  <si>
    <t>Chang, A.K.U. (Tony)</t>
  </si>
  <si>
    <t>Freeman, Jerry K.M.</t>
  </si>
  <si>
    <t>Agard, Louis (Buzzy)</t>
  </si>
  <si>
    <t>Rezentes, M. Kehaulani</t>
  </si>
  <si>
    <t>Kupau, Orrin</t>
  </si>
  <si>
    <t>HILL, Kaui (Bu La`Ia)</t>
  </si>
  <si>
    <t>Burke, Jackie (Kahookele)</t>
  </si>
  <si>
    <t>Chun, Kaliko</t>
  </si>
  <si>
    <t>Nelson, Dickie</t>
  </si>
  <si>
    <t>Kinimaka-Stocksdale, Kahea</t>
  </si>
  <si>
    <t>Akana, Rowena M. Noelani</t>
  </si>
  <si>
    <t>Stender, Oswald K. (Oz)</t>
  </si>
  <si>
    <t>Boyd, Manu</t>
  </si>
  <si>
    <t>Kanahele, Dennis (Bumpy)</t>
  </si>
  <si>
    <t>Anderson, Whitney T.</t>
  </si>
  <si>
    <t>Lyman, Melissa M. Guerreiro</t>
  </si>
  <si>
    <t>Benham, Roy L. (Ilikea)</t>
  </si>
  <si>
    <t>Danner, Robin Puanani</t>
  </si>
  <si>
    <t>Harbottle, Newton D.</t>
  </si>
  <si>
    <t>Beirne, D. Ululani</t>
  </si>
  <si>
    <t>Youngquist, Arvid Tadao</t>
  </si>
  <si>
    <t>Meyers, Willy (Kealakahi)</t>
  </si>
  <si>
    <t>Mossman, Boyd Poki</t>
  </si>
  <si>
    <t>Feiteira, Blossom</t>
  </si>
  <si>
    <t>Heen, Walter Meheula</t>
  </si>
  <si>
    <t>Burke, Jackie Kahookele</t>
  </si>
  <si>
    <t>Na'auao, S. Kau'i</t>
  </si>
  <si>
    <t>Reynolds, M. Kapiolani</t>
  </si>
  <si>
    <t>Hew Len, D. Kehaulani</t>
  </si>
  <si>
    <t>Kawelo, Frankie Kay                                                   </t>
  </si>
  <si>
    <t>Kippen, Colin C.</t>
  </si>
  <si>
    <t>Honda, Helene S.M.</t>
  </si>
  <si>
    <t>Nalua'i, Sol</t>
  </si>
  <si>
    <t>Lindsey, Bob K.</t>
  </si>
  <si>
    <t>Meyers, William (Willy)</t>
  </si>
  <si>
    <t>Cataluna, Donald B.</t>
  </si>
  <si>
    <t>Purdy, Waipa</t>
  </si>
  <si>
    <t>Apo, Peter</t>
  </si>
  <si>
    <t>Akana, Rowena M. N.</t>
  </si>
  <si>
    <t>Waihee, John Iv</t>
  </si>
  <si>
    <t>Makekau, Kealii J.</t>
  </si>
  <si>
    <t>Hopkins, Kama</t>
  </si>
  <si>
    <t>Lewis, Joseph Kuhio</t>
  </si>
  <si>
    <t>Odegaard, Michael Malulani</t>
  </si>
  <si>
    <t>Lindsey, Carmen Hulu</t>
  </si>
  <si>
    <t>Kane, Dain Pomaika'i</t>
  </si>
  <si>
    <t>Kapu, Ke'eaumoku</t>
  </si>
  <si>
    <t>Gomes, Doreen Pua</t>
  </si>
  <si>
    <t>Duey, Rose</t>
  </si>
  <si>
    <t>Amorin, Johanna Kuulei Shin</t>
  </si>
  <si>
    <t>Lee, Cal</t>
  </si>
  <si>
    <t>Akina, Keli'i</t>
  </si>
  <si>
    <t>Lincoln, Lancelot Haili</t>
  </si>
  <si>
    <t xml:space="preserve">Lindsey, Robert K. </t>
  </si>
  <si>
    <t xml:space="preserve">Meyers, William (Willy) </t>
  </si>
  <si>
    <t>Miranda, Edwin L.P.</t>
  </si>
  <si>
    <t>Ahuna, Dan</t>
  </si>
  <si>
    <t>Pacheco, Haunani</t>
  </si>
  <si>
    <t>Kagawa Fu, Kanani</t>
  </si>
  <si>
    <t>Yadao, Leland K. (Radar)</t>
  </si>
  <si>
    <t>Swain, Billy Kealamaikahiki</t>
  </si>
  <si>
    <t>Pomroy, Sharon A.</t>
  </si>
  <si>
    <t>Santos, D. Kaliko</t>
  </si>
  <si>
    <t>Albao, Liberta Hussey</t>
  </si>
  <si>
    <t>Alalem Worthington, Keola</t>
  </si>
  <si>
    <t>Sahut, Ronson K.</t>
  </si>
  <si>
    <t xml:space="preserve">Machado, Colette (Piipii) </t>
  </si>
  <si>
    <t>* Apo, Peter</t>
  </si>
  <si>
    <t>Lum Lee, Christopher K.J.</t>
  </si>
  <si>
    <t>Shigemasa, C. Kamaleihaahaa</t>
  </si>
  <si>
    <t>* Waihee, John D.</t>
  </si>
  <si>
    <t>* Akana, Rowena M.N.</t>
  </si>
  <si>
    <t>* Ahu Isa, Lei (Leina'ala)</t>
  </si>
  <si>
    <t>* Trask, Mililani B.</t>
  </si>
  <si>
    <t>* Akina, Keli'i</t>
  </si>
  <si>
    <t>* Mcinerny, Harvey</t>
  </si>
  <si>
    <t>Hopkins, Jeremy Kama</t>
  </si>
  <si>
    <t>Wong-Kalu, Hina (Kumu Hina)</t>
  </si>
  <si>
    <t>Shin-Penn, Lorraine Pualani</t>
  </si>
  <si>
    <t>Makekau, Keali'i</t>
  </si>
  <si>
    <t>Desoto-Mccollough, Lahilahi</t>
  </si>
  <si>
    <t>Yoon, Wes Kaiwi Nui</t>
  </si>
  <si>
    <t>Paikai, Landen D.K.K.</t>
  </si>
  <si>
    <t>Kekipi, T. Keikialoha</t>
  </si>
  <si>
    <t>Quartero, Alona N.</t>
  </si>
  <si>
    <t>* Lindsey, Carmen Hulu</t>
  </si>
  <si>
    <t>* Wendt, Mahealani</t>
  </si>
  <si>
    <t>Waihee, John D.</t>
  </si>
  <si>
    <t>Ahu Isa, Lei (Leina'ala)</t>
  </si>
  <si>
    <t>McInerny, Harvey</t>
  </si>
  <si>
    <t>Wendt, Mahealani</t>
  </si>
  <si>
    <t>* Machado, Colette (Pipi'i)</t>
  </si>
  <si>
    <t>Hanapi, Alapai</t>
  </si>
  <si>
    <t>Flowers, Jerry (Manuwa)</t>
  </si>
  <si>
    <t>* Ahuna, Dan</t>
  </si>
  <si>
    <t>Lindsey, Robert K. (Bob)</t>
  </si>
  <si>
    <t>Kahui, Bo V. (Craig)</t>
  </si>
  <si>
    <t>Mossman, Paul Ledwith</t>
  </si>
  <si>
    <t>Anthony, Daniel K.</t>
  </si>
  <si>
    <t>Crum, Douglas E.</t>
  </si>
  <si>
    <t xml:space="preserve">Akaka, Kalei </t>
  </si>
  <si>
    <t>Kia'aina, Esther</t>
  </si>
  <si>
    <t>King, Samuel Wilder, Ii</t>
  </si>
  <si>
    <t>Mossman, Paul</t>
  </si>
  <si>
    <t>Murray, Francine Kanani</t>
  </si>
  <si>
    <t>* Kapu, Ke'eaumoku</t>
  </si>
  <si>
    <t>* Waihee, John D., IV</t>
  </si>
  <si>
    <t>* Akana, Rowena Noelani</t>
  </si>
  <si>
    <t>* Aila, William J., Jr.</t>
  </si>
  <si>
    <t>* Hanohano, Faye (Pua)</t>
  </si>
  <si>
    <t>* Lee, Brendon Kalei'aina</t>
  </si>
  <si>
    <t>Paris, Makana</t>
  </si>
  <si>
    <t>Ryan, Pohai</t>
  </si>
  <si>
    <t>Akina, Alvin A. (Auhana)</t>
  </si>
  <si>
    <t>Pa'aluhi, Marc Kalai</t>
  </si>
  <si>
    <t>Sharsh-Davis, Lei</t>
  </si>
  <si>
    <t>Amsterdam, C. Kaui Jochanan</t>
  </si>
  <si>
    <t>Puuohau, Kali</t>
  </si>
  <si>
    <t>Akaka, Kalei</t>
  </si>
  <si>
    <t>Waihee, John D., Iv</t>
  </si>
  <si>
    <t>Lee, Brendon Kalei'aina</t>
  </si>
  <si>
    <t>Aila, William J., Jr.</t>
  </si>
  <si>
    <t>Hanohano, Faye (Pua)</t>
  </si>
  <si>
    <t xml:space="preserve">Alapa, Luana </t>
  </si>
  <si>
    <t xml:space="preserve">Kahue-Cabanting, U'i </t>
  </si>
  <si>
    <t xml:space="preserve">* Ahuna, Dan </t>
  </si>
  <si>
    <t xml:space="preserve">Smith, Kamealoha </t>
  </si>
  <si>
    <t xml:space="preserve">Perez, Brittny </t>
  </si>
  <si>
    <t xml:space="preserve">Lindsey, Keola </t>
  </si>
  <si>
    <t xml:space="preserve">Mangauil, Lanakila </t>
  </si>
  <si>
    <t xml:space="preserve">Hao, Louis (Lui) </t>
  </si>
  <si>
    <t xml:space="preserve">Ishibashi, Pua </t>
  </si>
  <si>
    <t xml:space="preserve">Almeida, Kauilani </t>
  </si>
  <si>
    <t xml:space="preserve">Cashman-Aiu, Noelani </t>
  </si>
  <si>
    <t xml:space="preserve">Pau, Louis (Kauka) </t>
  </si>
  <si>
    <t xml:space="preserve">Kihoi, Lei </t>
  </si>
  <si>
    <t xml:space="preserve">Wilson, Kalaniakea </t>
  </si>
  <si>
    <t xml:space="preserve">Desoto-Mccollough, Laura L. </t>
  </si>
  <si>
    <t xml:space="preserve">Hoffeld, Cyd L. (Makanui) </t>
  </si>
  <si>
    <t xml:space="preserve">Akina, Keli'i </t>
  </si>
  <si>
    <t xml:space="preserve">Souza, Keoni </t>
  </si>
  <si>
    <t xml:space="preserve">Burke, Jackie (Kahookele) </t>
  </si>
  <si>
    <t xml:space="preserve">Hanakahi, Kaipo K. </t>
  </si>
  <si>
    <t xml:space="preserve">Palacat-Nelsen, Shane Akoni </t>
  </si>
  <si>
    <t xml:space="preserve">Kawaauhau, Larry K. </t>
  </si>
  <si>
    <t xml:space="preserve">Sonoda, Lenson (Kawekiu) </t>
  </si>
  <si>
    <t>Waihe'e, John IV.</t>
  </si>
  <si>
    <t>Lindsey, Keola *</t>
  </si>
  <si>
    <t>Mossman, Boyd Poki *</t>
  </si>
  <si>
    <t>* Trustee Boyd Mossman resigned his position on November 1, 2011.  Carmen Hulu Lindsey was selected to fill the remainder of his term.</t>
  </si>
  <si>
    <t>PRIMARY ELECTION 2022 - State of Hawaiÿi – Statewide</t>
  </si>
  <si>
    <t>Saturday, August 13, 2022</t>
  </si>
  <si>
    <t>GENERAL ELECTION 2022 - State of Hawaiÿi – Statewide</t>
  </si>
  <si>
    <t>Trustee Keola Lindsey resigned from his position on February 1, 2022. This election is being held to select a candate to fullfill his term ending n 2024.</t>
  </si>
  <si>
    <t>Tuesday, November 8, 2022</t>
  </si>
  <si>
    <t>This office is being opened for the purpose of nominating and electing an Office of Hawaiian Affairs Hawaii Resident Trustee to fill a vacant seat, cause by the resignation of Hawaii Resident Trustee Keola Lindsey, for the unexpired term which ends on November 5, 2024.</t>
  </si>
  <si>
    <t>* Trustee Keola Lindsey resigned from his position on February 1, 2022.  The OHA Board of Trustees selected Mililani Trask as the OHA Trustee for Hawaiÿi Island until a candiate is elected in the 2022 elections.</t>
  </si>
  <si>
    <t>Cermelj, Hope Alohalani</t>
  </si>
  <si>
    <t>Aki, Zuri Kaapana</t>
  </si>
  <si>
    <t>Ako, Julian (Keikilani)</t>
  </si>
  <si>
    <t>Galuteria, Brickwood</t>
  </si>
  <si>
    <t>Kahue-Cabanting, U'i</t>
  </si>
  <si>
    <t>King, Sam Kalanikupua</t>
  </si>
  <si>
    <t>Makekau, Kealii</t>
  </si>
  <si>
    <t>Owens, Chad</t>
  </si>
  <si>
    <t>Paik, William</t>
  </si>
  <si>
    <t>Souza, Keoni</t>
  </si>
  <si>
    <t>Waihee, John D., IV</t>
  </si>
  <si>
    <t>Peters, Robert E.</t>
  </si>
  <si>
    <t>* Cermelj, Hope Alohalani</t>
  </si>
  <si>
    <t>* Two (2) candidates: the candidates will appear on the general election ballot.</t>
  </si>
  <si>
    <t>* Akaka, Kalei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</si>
</sst>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3" formatCode="_(* #,##0.00_);_(* \(#,##0.00\);_(* &quot;-&quot;??_);_(@_)"/>
    <numFmt numFmtId="164" formatCode="0.0%"/>
    <numFmt numFmtId="165" formatCode="[$-409]mmmm\ d\,\ yyyy;@"/>
    <numFmt numFmtId="166" formatCode="0.0"/>
    <numFmt numFmtId="167" formatCode="0."/>
    <numFmt numFmtId="168" formatCode="0.0%\ "/>
    <numFmt numFmtId="169" formatCode="0.0000000"/>
  </numFmts>
  <fonts count="64">
    <font>
      <sz val="11"/>
      <color theme="1"/>
      <name val="HawnHelv"/>
      <family val="2"/>
    </font>
    <font>
      <sz val="11"/>
      <color theme="1"/>
      <name val="HawnHelv"/>
      <family val="2"/>
    </font>
    <font>
      <b/>
      <sz val="11"/>
      <color theme="1"/>
      <name val="HawnHelv"/>
    </font>
    <font>
      <sz val="11"/>
      <color theme="1"/>
      <name val="HawnHelv"/>
    </font>
    <font>
      <b/>
      <sz val="11"/>
      <color theme="1"/>
      <name val="HawnHelv"/>
      <scheme val="minor"/>
    </font>
    <font>
      <sz val="11"/>
      <color theme="1"/>
      <name val="HawnHelv"/>
      <scheme val="minor"/>
    </font>
    <font>
      <sz val="11"/>
      <color rgb="FFFF0000"/>
      <name val="HawnHelv"/>
      <scheme val="minor"/>
    </font>
    <font>
      <sz val="11"/>
      <color indexed="8"/>
      <name val="HawnHelv"/>
      <scheme val="minor"/>
    </font>
    <font>
      <sz val="11"/>
      <color indexed="8"/>
      <name val="HawnHelv"/>
    </font>
    <font>
      <sz val="11"/>
      <name val="HawnHelv"/>
    </font>
    <font>
      <u/>
      <sz val="11"/>
      <color indexed="8"/>
      <name val="HawnHelv"/>
    </font>
    <font>
      <sz val="11"/>
      <color rgb="FF222222"/>
      <name val="HawnHelv"/>
      <scheme val="minor"/>
    </font>
    <font>
      <sz val="6"/>
      <color indexed="8"/>
      <name val="Arial"/>
      <family val="1"/>
      <charset val="204"/>
    </font>
    <font>
      <u/>
      <sz val="6"/>
      <color indexed="8"/>
      <name val="Arial"/>
      <family val="1"/>
      <charset val="204"/>
    </font>
    <font>
      <sz val="6"/>
      <color indexed="8"/>
      <name val="Arial"/>
      <family val="2"/>
    </font>
    <font>
      <sz val="11"/>
      <name val="HawnHelv"/>
      <scheme val="minor"/>
    </font>
    <font>
      <b/>
      <sz val="11"/>
      <name val="HawnHelv"/>
      <scheme val="minor"/>
    </font>
    <font>
      <sz val="8"/>
      <name val="Times New Roman"/>
      <family val="1"/>
      <charset val="204"/>
    </font>
    <font>
      <sz val="9"/>
      <name val="Courier New"/>
      <family val="1"/>
      <charset val="204"/>
    </font>
    <font>
      <u/>
      <sz val="11"/>
      <name val="HawnHelv"/>
      <scheme val="minor"/>
    </font>
    <font>
      <sz val="10"/>
      <name val="Courier New"/>
      <family val="1"/>
      <charset val="204"/>
    </font>
    <font>
      <sz val="11"/>
      <color rgb="FF2F2F2F"/>
      <name val="HawnHelv"/>
    </font>
    <font>
      <sz val="11"/>
      <color rgb="FFFF0000"/>
      <name val="HawnHelv"/>
    </font>
    <font>
      <sz val="11"/>
      <color rgb="FF2A2A2A"/>
      <name val="HawnHelv"/>
      <scheme val="minor"/>
    </font>
    <font>
      <b/>
      <sz val="10"/>
      <color indexed="63"/>
      <name val="Courier New"/>
      <family val="1"/>
      <charset val="204"/>
    </font>
    <font>
      <sz val="8"/>
      <color indexed="63"/>
      <name val="Times New Roman"/>
      <family val="1"/>
      <charset val="204"/>
    </font>
    <font>
      <b/>
      <sz val="8"/>
      <color indexed="63"/>
      <name val="Arial"/>
      <family val="1"/>
      <charset val="204"/>
    </font>
    <font>
      <sz val="10"/>
      <color indexed="63"/>
      <name val="Courier New"/>
      <family val="2"/>
    </font>
    <font>
      <b/>
      <sz val="11"/>
      <name val="HawnHelv"/>
    </font>
    <font>
      <i/>
      <sz val="11"/>
      <name val="HawnHelv"/>
    </font>
    <font>
      <sz val="10"/>
      <color theme="1"/>
      <name val="HawnHelv"/>
    </font>
    <font>
      <b/>
      <sz val="10"/>
      <color theme="1"/>
      <name val="HawnHelv"/>
    </font>
    <font>
      <sz val="10"/>
      <color theme="1"/>
      <name val="HawnHelv"/>
      <scheme val="minor"/>
    </font>
    <font>
      <b/>
      <sz val="10"/>
      <color theme="1"/>
      <name val="HawnHelv"/>
      <scheme val="minor"/>
    </font>
    <font>
      <sz val="11"/>
      <color rgb="FF232323"/>
      <name val="HawnHelv"/>
    </font>
    <font>
      <sz val="11"/>
      <color rgb="FFAFAFAF"/>
      <name val="HawnHelv"/>
    </font>
    <font>
      <b/>
      <sz val="11"/>
      <color theme="0"/>
      <name val="HawnHelv"/>
    </font>
    <font>
      <b/>
      <sz val="11"/>
      <color theme="0"/>
      <name val="HawnHelv"/>
      <scheme val="minor"/>
    </font>
    <font>
      <sz val="10"/>
      <name val="HawnHelv"/>
    </font>
    <font>
      <b/>
      <sz val="10"/>
      <name val="HawnHelv"/>
    </font>
    <font>
      <sz val="10"/>
      <name val="HawnHelv"/>
      <scheme val="minor"/>
    </font>
    <font>
      <b/>
      <sz val="10"/>
      <name val="HawnHelv"/>
      <scheme val="minor"/>
    </font>
    <font>
      <sz val="26"/>
      <color theme="1"/>
      <name val="HawnHelv"/>
    </font>
    <font>
      <b/>
      <sz val="10"/>
      <color theme="0"/>
      <name val="HawnHelv"/>
    </font>
    <font>
      <sz val="9"/>
      <color rgb="FF000000"/>
      <name val="HawnHelv"/>
      <scheme val="minor"/>
    </font>
    <font>
      <sz val="10"/>
      <color rgb="FF000000"/>
      <name val="HawnHelv"/>
      <scheme val="minor"/>
    </font>
    <font>
      <sz val="10"/>
      <color rgb="FF0C2240"/>
      <name val="HawnHelv"/>
      <scheme val="minor"/>
    </font>
    <font>
      <sz val="11"/>
      <color theme="1"/>
      <name val="Calibri"/>
      <family val="2"/>
    </font>
    <font>
      <b/>
      <sz val="10"/>
      <color rgb="FF7E7E7E"/>
      <name val="HawnHelv"/>
      <scheme val="minor"/>
    </font>
    <font>
      <b/>
      <sz val="8"/>
      <color rgb="FF000000"/>
      <name val="HawnHelv"/>
      <scheme val="minor"/>
    </font>
    <font>
      <sz val="11"/>
      <color rgb="FF000000"/>
      <name val="HawnHelv"/>
      <scheme val="minor"/>
    </font>
    <font>
      <b/>
      <sz val="11"/>
      <color rgb="FF0C2240"/>
      <name val="HawnHelv"/>
      <scheme val="minor"/>
    </font>
    <font>
      <sz val="11"/>
      <color rgb="FF000000"/>
      <name val="HawnHelv"/>
      <family val="2"/>
      <scheme val="minor"/>
    </font>
    <font>
      <sz val="11"/>
      <color rgb="FF000000"/>
      <name val="Calibri"/>
      <family val="2"/>
    </font>
    <font>
      <sz val="11"/>
      <color rgb="FF000000"/>
      <name val="HawnHelv"/>
    </font>
    <font>
      <sz val="11"/>
      <color rgb="FF2A2A2A"/>
      <name val="HawnHelv"/>
    </font>
    <font>
      <b/>
      <sz val="12"/>
      <color theme="1"/>
      <name val="HawnHelv"/>
      <scheme val="minor"/>
    </font>
    <font>
      <b/>
      <sz val="14"/>
      <color theme="0"/>
      <name val="HawnHelv"/>
    </font>
    <font>
      <b/>
      <sz val="14"/>
      <color theme="0"/>
      <name val="HawnHelv"/>
      <scheme val="minor"/>
    </font>
    <font>
      <sz val="14"/>
      <color theme="1"/>
      <name val="HawnHelv"/>
      <family val="2"/>
    </font>
    <font>
      <sz val="14"/>
      <name val="HawnHelv"/>
    </font>
    <font>
      <u/>
      <sz val="14"/>
      <color indexed="8"/>
      <name val="HawnHelv"/>
    </font>
    <font>
      <sz val="12"/>
      <color rgb="FF333333"/>
      <name val="HawnHelv"/>
    </font>
    <font>
      <sz val="12"/>
      <color theme="1"/>
      <name val="HawnHelv"/>
    </font>
  </fonts>
  <fills count="21">
    <fill>
      <patternFill patternType="none"/>
    </fill>
    <fill>
      <patternFill patternType="gray125"/>
    </fill>
    <fill>
      <patternFill patternType="solid">
        <fgColor rgb="FFFFE1E1"/>
        <bgColor indexed="64"/>
      </patternFill>
    </fill>
    <fill>
      <patternFill patternType="solid">
        <fgColor theme="3" tint="-0.249977111117893"/>
        <bgColor indexed="64"/>
      </patternFill>
    </fill>
    <fill>
      <patternFill patternType="solid">
        <fgColor theme="3" tint="0.79998168889431442"/>
        <bgColor indexed="64"/>
      </patternFill>
    </fill>
    <fill>
      <patternFill patternType="solid">
        <fgColor theme="3" tint="-0.499984740745262"/>
        <bgColor indexed="64"/>
      </patternFill>
    </fill>
    <fill>
      <patternFill patternType="solid">
        <fgColor theme="4" tint="0.79998168889431442"/>
        <bgColor indexed="64"/>
      </patternFill>
    </fill>
    <fill>
      <patternFill patternType="solid">
        <fgColor theme="7" tint="-0.249977111117893"/>
        <bgColor indexed="64"/>
      </patternFill>
    </fill>
    <fill>
      <patternFill patternType="solid">
        <fgColor theme="7" tint="-0.499984740745262"/>
        <bgColor indexed="64"/>
      </patternFill>
    </fill>
    <fill>
      <patternFill patternType="solid">
        <fgColor theme="7" tint="0.79998168889431442"/>
        <bgColor indexed="64"/>
      </patternFill>
    </fill>
    <fill>
      <patternFill patternType="solid">
        <fgColor rgb="FFEBEEE3"/>
        <bgColor indexed="64"/>
      </patternFill>
    </fill>
    <fill>
      <patternFill patternType="solid">
        <fgColor rgb="FFE9F0F5"/>
        <bgColor indexed="64"/>
      </patternFill>
    </fill>
    <fill>
      <patternFill patternType="solid">
        <fgColor rgb="FFEDEEE6"/>
        <bgColor indexed="64"/>
      </patternFill>
    </fill>
    <fill>
      <patternFill patternType="solid">
        <fgColor rgb="FF355C7D"/>
        <bgColor indexed="64"/>
      </patternFill>
    </fill>
    <fill>
      <patternFill patternType="solid">
        <fgColor rgb="FF548BB8"/>
        <bgColor indexed="64"/>
      </patternFill>
    </fill>
    <fill>
      <patternFill patternType="solid">
        <fgColor rgb="FF395751"/>
        <bgColor indexed="64"/>
      </patternFill>
    </fill>
    <fill>
      <patternFill patternType="solid">
        <fgColor rgb="FF5A887F"/>
        <bgColor indexed="64"/>
      </patternFill>
    </fill>
    <fill>
      <patternFill patternType="solid">
        <fgColor rgb="FFDEEAE8"/>
        <bgColor indexed="64"/>
      </patternFill>
    </fill>
    <fill>
      <patternFill patternType="solid">
        <fgColor theme="8" tint="0.79998168889431442"/>
        <bgColor indexed="64"/>
      </patternFill>
    </fill>
    <fill>
      <patternFill patternType="solid">
        <fgColor theme="8" tint="-0.249977111117893"/>
        <bgColor indexed="64"/>
      </patternFill>
    </fill>
    <fill>
      <patternFill patternType="solid">
        <fgColor rgb="FF465B3B"/>
        <bgColor indexed="64"/>
      </patternFill>
    </fill>
  </fills>
  <borders count="64">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theme="0"/>
      </right>
      <top style="thin">
        <color indexed="64"/>
      </top>
      <bottom style="thin">
        <color indexed="64"/>
      </bottom>
      <diagonal/>
    </border>
    <border>
      <left style="medium">
        <color theme="0"/>
      </left>
      <right style="thin">
        <color indexed="64"/>
      </right>
      <top style="thin">
        <color indexed="64"/>
      </top>
      <bottom style="thin">
        <color indexed="64"/>
      </bottom>
      <diagonal/>
    </border>
    <border>
      <left style="medium">
        <color theme="0"/>
      </left>
      <right/>
      <top style="thin">
        <color indexed="64"/>
      </top>
      <bottom style="thin">
        <color indexed="64"/>
      </bottom>
      <diagonal/>
    </border>
    <border>
      <left style="medium">
        <color theme="0"/>
      </left>
      <right/>
      <top/>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right style="thin">
        <color indexed="64"/>
      </right>
      <top/>
      <bottom/>
      <diagonal/>
    </border>
    <border>
      <left/>
      <right style="medium">
        <color indexed="64"/>
      </right>
      <top style="thin">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thin">
        <color indexed="64"/>
      </top>
      <bottom/>
      <diagonal/>
    </border>
    <border>
      <left style="medium">
        <color theme="7" tint="-0.249977111117893"/>
      </left>
      <right style="medium">
        <color theme="7" tint="-0.249977111117893"/>
      </right>
      <top style="medium">
        <color theme="7" tint="-0.249977111117893"/>
      </top>
      <bottom style="medium">
        <color theme="7" tint="-0.249977111117893"/>
      </bottom>
      <diagonal/>
    </border>
    <border>
      <left style="medium">
        <color indexed="64"/>
      </left>
      <right/>
      <top/>
      <bottom style="medium">
        <color indexed="64"/>
      </bottom>
      <diagonal/>
    </border>
    <border>
      <left/>
      <right/>
      <top style="thin">
        <color indexed="64"/>
      </top>
      <bottom style="medium">
        <color indexed="64"/>
      </bottom>
      <diagonal/>
    </border>
    <border>
      <left style="thin">
        <color indexed="64"/>
      </left>
      <right style="medium">
        <color theme="0"/>
      </right>
      <top style="thin">
        <color indexed="64"/>
      </top>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diagonal/>
    </border>
    <border>
      <left style="thin">
        <color theme="0"/>
      </left>
      <right/>
      <top style="thin">
        <color indexed="64"/>
      </top>
      <bottom/>
      <diagonal/>
    </border>
    <border>
      <left/>
      <right style="medium">
        <color indexed="64"/>
      </right>
      <top style="thin">
        <color indexed="64"/>
      </top>
      <bottom/>
      <diagonal/>
    </border>
    <border>
      <left style="medium">
        <color indexed="64"/>
      </left>
      <right style="medium">
        <color indexed="64"/>
      </right>
      <top style="medium">
        <color indexed="64"/>
      </top>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743">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5" fillId="0" borderId="0" xfId="0" applyFont="1"/>
    <xf numFmtId="0" fontId="5" fillId="0" borderId="0" xfId="0" applyFont="1" applyAlignment="1">
      <alignment vertical="center"/>
    </xf>
    <xf numFmtId="0" fontId="8" fillId="0" borderId="0" xfId="0" applyFont="1" applyAlignment="1">
      <alignment horizontal="left" vertical="top" wrapText="1"/>
    </xf>
    <xf numFmtId="0" fontId="8" fillId="0" borderId="0" xfId="0" applyFont="1" applyAlignment="1">
      <alignment horizontal="right" vertical="top" wrapText="1"/>
    </xf>
    <xf numFmtId="0" fontId="8" fillId="0" borderId="0" xfId="0" applyFont="1" applyAlignment="1">
      <alignment horizontal="left" vertical="center" wrapText="1"/>
    </xf>
    <xf numFmtId="0" fontId="5" fillId="0" borderId="0" xfId="0" applyFont="1" applyAlignment="1">
      <alignment horizontal="left" vertical="center"/>
    </xf>
    <xf numFmtId="0" fontId="9" fillId="0" borderId="0" xfId="0" applyFont="1" applyAlignment="1">
      <alignment vertical="top" wrapText="1"/>
    </xf>
    <xf numFmtId="0" fontId="10" fillId="0" borderId="0" xfId="0" applyFont="1" applyAlignment="1">
      <alignment horizontal="center" vertical="top" wrapText="1"/>
    </xf>
    <xf numFmtId="3" fontId="5" fillId="0" borderId="0" xfId="0" applyNumberFormat="1" applyFont="1" applyAlignment="1">
      <alignment horizontal="right" vertical="center"/>
    </xf>
    <xf numFmtId="0" fontId="9" fillId="0" borderId="0" xfId="0" applyFont="1" applyAlignment="1">
      <alignment horizontal="left" vertical="center" wrapText="1"/>
    </xf>
    <xf numFmtId="0" fontId="10" fillId="0" borderId="0" xfId="0" applyFont="1" applyAlignment="1">
      <alignment horizontal="left" vertical="center" wrapText="1"/>
    </xf>
    <xf numFmtId="0" fontId="2" fillId="0" borderId="0" xfId="0" applyFont="1" applyAlignment="1">
      <alignment horizontal="center" vertical="center" wrapText="1"/>
    </xf>
    <xf numFmtId="3" fontId="3" fillId="0" borderId="0" xfId="0" applyNumberFormat="1" applyFont="1"/>
    <xf numFmtId="10" fontId="3" fillId="0" borderId="0" xfId="0" applyNumberFormat="1" applyFont="1"/>
    <xf numFmtId="0" fontId="12" fillId="0" borderId="0" xfId="0" applyFont="1" applyAlignment="1">
      <alignment horizontal="left" vertical="top" wrapText="1" indent="15"/>
    </xf>
    <xf numFmtId="0" fontId="13" fillId="0" borderId="0" xfId="0" applyFont="1" applyAlignment="1">
      <alignment horizontal="left" vertical="top" wrapText="1" indent="15"/>
    </xf>
    <xf numFmtId="0" fontId="12" fillId="0" borderId="0" xfId="0" applyFont="1" applyAlignment="1">
      <alignment horizontal="right" vertical="top" wrapText="1"/>
    </xf>
    <xf numFmtId="0" fontId="12" fillId="0" borderId="0" xfId="0" applyFont="1" applyAlignment="1">
      <alignment horizontal="left" vertical="top" wrapText="1"/>
    </xf>
    <xf numFmtId="0" fontId="7" fillId="0" borderId="0" xfId="0" applyFont="1" applyAlignment="1">
      <alignment vertical="center"/>
    </xf>
    <xf numFmtId="0" fontId="7" fillId="0" borderId="0" xfId="0" applyFont="1" applyAlignment="1">
      <alignment horizontal="left" vertical="center"/>
    </xf>
    <xf numFmtId="3" fontId="14" fillId="0" borderId="0" xfId="0" applyNumberFormat="1" applyFont="1" applyAlignment="1">
      <alignment horizontal="right" vertical="top" shrinkToFit="1"/>
    </xf>
    <xf numFmtId="164" fontId="14" fillId="0" borderId="0" xfId="0" applyNumberFormat="1" applyFont="1" applyAlignment="1">
      <alignment horizontal="right" vertical="top" shrinkToFit="1"/>
    </xf>
    <xf numFmtId="0" fontId="12" fillId="0" borderId="0" xfId="0" applyFont="1" applyAlignment="1">
      <alignment horizontal="center" vertical="top" wrapText="1"/>
    </xf>
    <xf numFmtId="0" fontId="5" fillId="0" borderId="0" xfId="0" applyFont="1" applyAlignment="1">
      <alignment horizontal="right" vertical="center"/>
    </xf>
    <xf numFmtId="2" fontId="7" fillId="0" borderId="0" xfId="0" applyNumberFormat="1" applyFont="1" applyAlignment="1">
      <alignment vertical="top" shrinkToFit="1"/>
    </xf>
    <xf numFmtId="166" fontId="7" fillId="0" borderId="0" xfId="0" applyNumberFormat="1" applyFont="1" applyAlignment="1">
      <alignment vertical="top" shrinkToFit="1"/>
    </xf>
    <xf numFmtId="0" fontId="15" fillId="0" borderId="0" xfId="0" applyFont="1" applyAlignment="1">
      <alignment vertical="center"/>
    </xf>
    <xf numFmtId="0" fontId="17" fillId="0" borderId="0" xfId="0" applyFont="1" applyAlignment="1">
      <alignment horizontal="left" vertical="center" wrapText="1"/>
    </xf>
    <xf numFmtId="0" fontId="18" fillId="0" borderId="0" xfId="0" applyFont="1" applyAlignment="1">
      <alignment horizontal="left" vertical="center" wrapText="1"/>
    </xf>
    <xf numFmtId="0" fontId="20" fillId="0" borderId="0" xfId="0" applyFont="1" applyAlignment="1">
      <alignment horizontal="right" vertical="center" wrapText="1"/>
    </xf>
    <xf numFmtId="3" fontId="9" fillId="0" borderId="0" xfId="0" applyNumberFormat="1" applyFont="1" applyAlignment="1">
      <alignment vertical="center" wrapText="1"/>
    </xf>
    <xf numFmtId="164" fontId="9" fillId="0" borderId="0" xfId="2" applyNumberFormat="1" applyFont="1" applyFill="1" applyBorder="1" applyAlignment="1">
      <alignment vertical="center" wrapText="1"/>
    </xf>
    <xf numFmtId="0" fontId="25" fillId="0" borderId="0" xfId="0" applyFont="1" applyAlignment="1">
      <alignment horizontal="left" vertical="top" wrapText="1" indent="15"/>
    </xf>
    <xf numFmtId="0" fontId="27" fillId="0" borderId="0" xfId="0" applyFont="1" applyAlignment="1">
      <alignment horizontal="center" vertical="top" wrapText="1"/>
    </xf>
    <xf numFmtId="0" fontId="24" fillId="0" borderId="0" xfId="0" applyFont="1" applyAlignment="1">
      <alignment horizontal="center" vertical="top" wrapText="1"/>
    </xf>
    <xf numFmtId="0" fontId="9" fillId="0" borderId="0" xfId="0" applyFont="1" applyAlignment="1">
      <alignment vertical="center"/>
    </xf>
    <xf numFmtId="0" fontId="9" fillId="0" borderId="0" xfId="0" applyFont="1" applyAlignment="1">
      <alignment horizontal="left" vertical="top" wrapText="1" indent="15"/>
    </xf>
    <xf numFmtId="0" fontId="9" fillId="0" borderId="0" xfId="0" applyFont="1" applyAlignment="1">
      <alignment horizontal="left" vertical="top" wrapText="1"/>
    </xf>
    <xf numFmtId="0" fontId="28" fillId="0" borderId="0" xfId="0" applyFont="1" applyAlignment="1">
      <alignment horizontal="left" vertical="top" wrapText="1"/>
    </xf>
    <xf numFmtId="0" fontId="9" fillId="0" borderId="0" xfId="0" applyFont="1" applyAlignment="1">
      <alignment horizontal="left" vertical="top" wrapText="1" indent="2"/>
    </xf>
    <xf numFmtId="0" fontId="9" fillId="0" borderId="0" xfId="0" applyFont="1" applyAlignment="1">
      <alignment horizontal="left" vertical="top" wrapText="1" indent="1"/>
    </xf>
    <xf numFmtId="0" fontId="9" fillId="0" borderId="0" xfId="0" applyFont="1" applyAlignment="1">
      <alignment horizontal="right" vertical="top" wrapText="1"/>
    </xf>
    <xf numFmtId="167" fontId="9" fillId="0" borderId="0" xfId="0" applyNumberFormat="1" applyFont="1" applyAlignment="1">
      <alignment horizontal="left" vertical="top" indent="1" shrinkToFit="1"/>
    </xf>
    <xf numFmtId="1" fontId="9" fillId="0" borderId="0" xfId="0" applyNumberFormat="1" applyFont="1" applyAlignment="1">
      <alignment horizontal="left" vertical="top" indent="1" shrinkToFit="1"/>
    </xf>
    <xf numFmtId="0" fontId="9" fillId="0" borderId="0" xfId="0" applyFont="1" applyAlignment="1">
      <alignment horizontal="right" vertical="top" wrapText="1" indent="1"/>
    </xf>
    <xf numFmtId="0" fontId="29" fillId="0" borderId="0" xfId="0" applyFont="1" applyAlignment="1">
      <alignment horizontal="right" vertical="top" wrapText="1" indent="1"/>
    </xf>
    <xf numFmtId="0" fontId="9" fillId="0" borderId="0" xfId="0" applyFont="1"/>
    <xf numFmtId="0" fontId="26" fillId="0" borderId="0" xfId="0" applyFont="1" applyAlignment="1">
      <alignment horizontal="left" vertical="top" wrapText="1" indent="15"/>
    </xf>
    <xf numFmtId="0" fontId="34" fillId="0" borderId="0" xfId="0" applyFont="1" applyAlignment="1">
      <alignment vertical="center"/>
    </xf>
    <xf numFmtId="0" fontId="35" fillId="0" borderId="0" xfId="0" applyFont="1" applyAlignment="1">
      <alignment vertical="center"/>
    </xf>
    <xf numFmtId="0" fontId="5" fillId="0" borderId="22" xfId="0" applyFont="1" applyBorder="1"/>
    <xf numFmtId="0" fontId="9" fillId="0" borderId="22" xfId="0" applyFont="1" applyBorder="1" applyAlignment="1">
      <alignment vertical="center"/>
    </xf>
    <xf numFmtId="0" fontId="42" fillId="0" borderId="0" xfId="0" applyFont="1" applyAlignment="1">
      <alignment vertical="center"/>
    </xf>
    <xf numFmtId="0" fontId="22" fillId="0" borderId="0" xfId="0" applyFont="1" applyAlignment="1">
      <alignment vertical="center"/>
    </xf>
    <xf numFmtId="0" fontId="0" fillId="0" borderId="0" xfId="0" applyAlignment="1">
      <alignment vertical="center"/>
    </xf>
    <xf numFmtId="0" fontId="0" fillId="0" borderId="0" xfId="0" applyAlignment="1">
      <alignment vertical="center" wrapText="1"/>
    </xf>
    <xf numFmtId="0" fontId="44" fillId="0" borderId="0" xfId="0" applyFont="1" applyAlignment="1">
      <alignment horizontal="left" vertical="center" wrapText="1"/>
    </xf>
    <xf numFmtId="0" fontId="45" fillId="0" borderId="0" xfId="0" applyFont="1" applyAlignment="1">
      <alignment horizontal="left" vertical="center" wrapText="1"/>
    </xf>
    <xf numFmtId="0" fontId="46" fillId="0" borderId="0" xfId="0" applyFont="1" applyAlignment="1">
      <alignment horizontal="left" vertical="center" wrapText="1"/>
    </xf>
    <xf numFmtId="0" fontId="32" fillId="0" borderId="0" xfId="0" applyFont="1"/>
    <xf numFmtId="0" fontId="5" fillId="0" borderId="0" xfId="0" applyFont="1" applyAlignment="1">
      <alignment horizontal="left" vertical="center" wrapText="1"/>
    </xf>
    <xf numFmtId="0" fontId="5" fillId="0" borderId="0" xfId="0" applyFont="1" applyAlignment="1">
      <alignment horizontal="left" vertical="center" wrapText="1" indent="5"/>
    </xf>
    <xf numFmtId="0" fontId="48" fillId="0" borderId="0" xfId="0" applyFont="1" applyAlignment="1">
      <alignment horizontal="left" vertical="center" wrapText="1"/>
    </xf>
    <xf numFmtId="0" fontId="5" fillId="0" borderId="0" xfId="0" applyFont="1" applyAlignment="1">
      <alignment vertical="center" wrapText="1"/>
    </xf>
    <xf numFmtId="0" fontId="49" fillId="0" borderId="0" xfId="0" applyFont="1" applyAlignment="1">
      <alignment horizontal="left" vertical="center" wrapText="1"/>
    </xf>
    <xf numFmtId="0" fontId="50" fillId="0" borderId="0" xfId="0" applyFont="1" applyAlignment="1">
      <alignment horizontal="left" vertical="center" wrapText="1"/>
    </xf>
    <xf numFmtId="0" fontId="51" fillId="0" borderId="0" xfId="0" applyFont="1" applyAlignment="1">
      <alignment horizontal="left" vertical="center" wrapText="1"/>
    </xf>
    <xf numFmtId="0" fontId="52" fillId="0" borderId="0" xfId="0" applyFont="1" applyAlignment="1">
      <alignment horizontal="left" vertical="center" wrapText="1" indent="2"/>
    </xf>
    <xf numFmtId="0" fontId="50" fillId="0" borderId="0" xfId="0" applyFont="1" applyAlignment="1">
      <alignment horizontal="left" vertical="center" wrapText="1" indent="2"/>
    </xf>
    <xf numFmtId="0" fontId="0" fillId="0" borderId="0" xfId="0" applyAlignment="1">
      <alignment horizontal="left" vertical="center" wrapText="1" indent="5"/>
    </xf>
    <xf numFmtId="37" fontId="5" fillId="0" borderId="0" xfId="0" applyNumberFormat="1" applyFont="1" applyAlignment="1">
      <alignment vertical="center"/>
    </xf>
    <xf numFmtId="37" fontId="43" fillId="3" borderId="21" xfId="0" applyNumberFormat="1" applyFont="1" applyFill="1" applyBorder="1" applyAlignment="1">
      <alignment horizontal="center" vertical="center"/>
    </xf>
    <xf numFmtId="37" fontId="7" fillId="0" borderId="27" xfId="0" applyNumberFormat="1" applyFont="1" applyBorder="1" applyAlignment="1">
      <alignment vertical="center" shrinkToFit="1"/>
    </xf>
    <xf numFmtId="37" fontId="0" fillId="0" borderId="27" xfId="0" applyNumberFormat="1" applyBorder="1" applyAlignment="1">
      <alignment vertical="center"/>
    </xf>
    <xf numFmtId="37" fontId="0" fillId="0" borderId="28" xfId="0" applyNumberFormat="1" applyBorder="1" applyAlignment="1">
      <alignment vertical="center"/>
    </xf>
    <xf numFmtId="37" fontId="7" fillId="0" borderId="50" xfId="0" applyNumberFormat="1" applyFont="1" applyBorder="1" applyAlignment="1">
      <alignment vertical="center" shrinkToFit="1"/>
    </xf>
    <xf numFmtId="37" fontId="43" fillId="7" borderId="21" xfId="0" applyNumberFormat="1" applyFont="1" applyFill="1" applyBorder="1" applyAlignment="1">
      <alignment horizontal="center" vertical="center"/>
    </xf>
    <xf numFmtId="37" fontId="15" fillId="0" borderId="26" xfId="0" applyNumberFormat="1" applyFont="1" applyBorder="1" applyAlignment="1">
      <alignment vertical="center"/>
    </xf>
    <xf numFmtId="37" fontId="15" fillId="0" borderId="25" xfId="0" applyNumberFormat="1" applyFont="1" applyBorder="1" applyAlignment="1">
      <alignment vertical="center"/>
    </xf>
    <xf numFmtId="168" fontId="5" fillId="0" borderId="0" xfId="0" applyNumberFormat="1" applyFont="1" applyAlignment="1">
      <alignment vertical="center"/>
    </xf>
    <xf numFmtId="168" fontId="5" fillId="0" borderId="0" xfId="0" applyNumberFormat="1" applyFont="1" applyAlignment="1">
      <alignment horizontal="left" vertical="center"/>
    </xf>
    <xf numFmtId="168" fontId="43" fillId="3" borderId="21" xfId="0" applyNumberFormat="1" applyFont="1" applyFill="1" applyBorder="1" applyAlignment="1">
      <alignment horizontal="center" vertical="center" wrapText="1"/>
    </xf>
    <xf numFmtId="168" fontId="43" fillId="3" borderId="20" xfId="0" applyNumberFormat="1" applyFont="1" applyFill="1" applyBorder="1" applyAlignment="1">
      <alignment horizontal="center" vertical="center" wrapText="1"/>
    </xf>
    <xf numFmtId="168" fontId="5" fillId="0" borderId="5" xfId="2" applyNumberFormat="1" applyFont="1" applyBorder="1" applyAlignment="1">
      <alignment horizontal="right" vertical="center"/>
    </xf>
    <xf numFmtId="168" fontId="5" fillId="4" borderId="5" xfId="2" applyNumberFormat="1" applyFont="1" applyFill="1" applyBorder="1" applyAlignment="1">
      <alignment horizontal="right" vertical="center"/>
    </xf>
    <xf numFmtId="168" fontId="5" fillId="0" borderId="42" xfId="2" applyNumberFormat="1" applyFont="1" applyBorder="1" applyAlignment="1">
      <alignment horizontal="right" vertical="center"/>
    </xf>
    <xf numFmtId="168" fontId="7" fillId="0" borderId="27" xfId="0" applyNumberFormat="1" applyFont="1" applyBorder="1" applyAlignment="1">
      <alignment vertical="center" shrinkToFit="1"/>
    </xf>
    <xf numFmtId="168" fontId="5" fillId="0" borderId="53" xfId="2" applyNumberFormat="1" applyFont="1" applyBorder="1" applyAlignment="1">
      <alignment horizontal="right" vertical="center"/>
    </xf>
    <xf numFmtId="168" fontId="5" fillId="0" borderId="30" xfId="2" applyNumberFormat="1" applyFont="1" applyBorder="1" applyAlignment="1">
      <alignment horizontal="center" vertical="center"/>
    </xf>
    <xf numFmtId="168" fontId="5" fillId="0" borderId="31" xfId="2" applyNumberFormat="1" applyFont="1" applyBorder="1" applyAlignment="1">
      <alignment horizontal="center" vertical="center"/>
    </xf>
    <xf numFmtId="168" fontId="5" fillId="0" borderId="0" xfId="1" applyNumberFormat="1" applyFont="1" applyAlignment="1">
      <alignment horizontal="left" vertical="center"/>
    </xf>
    <xf numFmtId="168" fontId="7" fillId="0" borderId="50" xfId="0" applyNumberFormat="1" applyFont="1" applyBorder="1" applyAlignment="1">
      <alignment vertical="center" shrinkToFit="1"/>
    </xf>
    <xf numFmtId="168" fontId="5" fillId="0" borderId="29" xfId="2" applyNumberFormat="1" applyFont="1" applyBorder="1" applyAlignment="1">
      <alignment horizontal="right" vertical="center"/>
    </xf>
    <xf numFmtId="168" fontId="5" fillId="0" borderId="45" xfId="2" applyNumberFormat="1" applyFont="1" applyBorder="1" applyAlignment="1">
      <alignment horizontal="center" vertical="center"/>
    </xf>
    <xf numFmtId="168" fontId="5" fillId="0" borderId="47" xfId="2" applyNumberFormat="1" applyFont="1" applyBorder="1" applyAlignment="1">
      <alignment horizontal="center" vertical="center"/>
    </xf>
    <xf numFmtId="168" fontId="5" fillId="0" borderId="54" xfId="2" applyNumberFormat="1" applyFont="1" applyBorder="1" applyAlignment="1">
      <alignment horizontal="right" vertical="center"/>
    </xf>
    <xf numFmtId="168" fontId="7" fillId="0" borderId="0" xfId="0" applyNumberFormat="1" applyFont="1" applyAlignment="1">
      <alignment vertical="center" shrinkToFit="1"/>
    </xf>
    <xf numFmtId="168" fontId="5" fillId="0" borderId="30" xfId="2" applyNumberFormat="1" applyFont="1" applyBorder="1" applyAlignment="1">
      <alignment horizontal="right" vertical="center"/>
    </xf>
    <xf numFmtId="168" fontId="43" fillId="7" borderId="21" xfId="0" applyNumberFormat="1" applyFont="1" applyFill="1" applyBorder="1" applyAlignment="1">
      <alignment horizontal="center" vertical="center" wrapText="1"/>
    </xf>
    <xf numFmtId="168" fontId="43" fillId="7" borderId="20" xfId="0" applyNumberFormat="1" applyFont="1" applyFill="1" applyBorder="1" applyAlignment="1">
      <alignment horizontal="center" vertical="center" wrapText="1"/>
    </xf>
    <xf numFmtId="168" fontId="5" fillId="0" borderId="24" xfId="0" applyNumberFormat="1" applyFont="1" applyBorder="1" applyAlignment="1">
      <alignment vertical="center"/>
    </xf>
    <xf numFmtId="168" fontId="5" fillId="6" borderId="41" xfId="0" applyNumberFormat="1" applyFont="1" applyFill="1" applyBorder="1" applyAlignment="1">
      <alignment vertical="center"/>
    </xf>
    <xf numFmtId="168" fontId="5" fillId="0" borderId="26" xfId="0" applyNumberFormat="1" applyFont="1" applyBorder="1" applyAlignment="1">
      <alignment vertical="center"/>
    </xf>
    <xf numFmtId="168" fontId="5" fillId="0" borderId="30" xfId="0" applyNumberFormat="1" applyFont="1" applyBorder="1" applyAlignment="1">
      <alignment horizontal="left" vertical="center"/>
    </xf>
    <xf numFmtId="168" fontId="5" fillId="0" borderId="25" xfId="0" applyNumberFormat="1" applyFont="1" applyBorder="1" applyAlignment="1">
      <alignment vertical="center"/>
    </xf>
    <xf numFmtId="168" fontId="5" fillId="0" borderId="31" xfId="0" applyNumberFormat="1" applyFont="1" applyBorder="1" applyAlignment="1">
      <alignment horizontal="left" vertical="center"/>
    </xf>
    <xf numFmtId="168" fontId="5" fillId="9" borderId="41" xfId="0" applyNumberFormat="1" applyFont="1" applyFill="1" applyBorder="1" applyAlignment="1">
      <alignment vertical="center"/>
    </xf>
    <xf numFmtId="37" fontId="3" fillId="0" borderId="0" xfId="0" applyNumberFormat="1" applyFont="1" applyAlignment="1">
      <alignment horizontal="right" vertical="center"/>
    </xf>
    <xf numFmtId="37" fontId="3" fillId="0" borderId="26" xfId="0" applyNumberFormat="1" applyFont="1" applyBorder="1" applyAlignment="1">
      <alignment horizontal="right" vertical="center"/>
    </xf>
    <xf numFmtId="37" fontId="3" fillId="0" borderId="25" xfId="0" applyNumberFormat="1" applyFont="1" applyBorder="1" applyAlignment="1">
      <alignment horizontal="right" vertical="center"/>
    </xf>
    <xf numFmtId="37" fontId="7" fillId="0" borderId="26" xfId="0" applyNumberFormat="1" applyFont="1" applyBorder="1" applyAlignment="1">
      <alignment vertical="center" shrinkToFit="1"/>
    </xf>
    <xf numFmtId="37" fontId="7" fillId="0" borderId="25" xfId="0" applyNumberFormat="1" applyFont="1" applyBorder="1" applyAlignment="1">
      <alignment vertical="center" shrinkToFit="1"/>
    </xf>
    <xf numFmtId="37" fontId="5" fillId="0" borderId="23" xfId="0" applyNumberFormat="1" applyFont="1" applyBorder="1" applyAlignment="1">
      <alignment vertical="center"/>
    </xf>
    <xf numFmtId="37" fontId="5" fillId="0" borderId="26" xfId="0" applyNumberFormat="1" applyFont="1" applyBorder="1" applyAlignment="1">
      <alignment vertical="center"/>
    </xf>
    <xf numFmtId="37" fontId="5" fillId="0" borderId="25" xfId="0" applyNumberFormat="1" applyFont="1" applyBorder="1" applyAlignment="1">
      <alignment vertical="center"/>
    </xf>
    <xf numFmtId="37" fontId="5" fillId="0" borderId="0" xfId="0" applyNumberFormat="1" applyFont="1" applyAlignment="1">
      <alignment horizontal="right" vertical="center"/>
    </xf>
    <xf numFmtId="37" fontId="7" fillId="0" borderId="26" xfId="0" applyNumberFormat="1" applyFont="1" applyBorder="1" applyAlignment="1">
      <alignment horizontal="right" vertical="center" shrinkToFit="1"/>
    </xf>
    <xf numFmtId="37" fontId="7" fillId="0" borderId="25" xfId="0" applyNumberFormat="1" applyFont="1" applyBorder="1" applyAlignment="1">
      <alignment horizontal="right" vertical="center" shrinkToFit="1"/>
    </xf>
    <xf numFmtId="37" fontId="8" fillId="0" borderId="26" xfId="0" applyNumberFormat="1" applyFont="1" applyBorder="1" applyAlignment="1">
      <alignment horizontal="right" vertical="center" shrinkToFit="1"/>
    </xf>
    <xf numFmtId="37" fontId="8" fillId="0" borderId="41" xfId="0" applyNumberFormat="1" applyFont="1" applyBorder="1" applyAlignment="1">
      <alignment horizontal="right" vertical="center"/>
    </xf>
    <xf numFmtId="37" fontId="8" fillId="0" borderId="26" xfId="0" applyNumberFormat="1" applyFont="1" applyBorder="1" applyAlignment="1">
      <alignment horizontal="right" vertical="center"/>
    </xf>
    <xf numFmtId="37" fontId="8" fillId="0" borderId="26" xfId="0" applyNumberFormat="1" applyFont="1" applyBorder="1" applyAlignment="1">
      <alignment vertical="center"/>
    </xf>
    <xf numFmtId="37" fontId="8" fillId="0" borderId="25" xfId="0" applyNumberFormat="1" applyFont="1" applyBorder="1" applyAlignment="1">
      <alignment horizontal="right" vertical="center" shrinkToFit="1"/>
    </xf>
    <xf numFmtId="37" fontId="8" fillId="0" borderId="3" xfId="0" applyNumberFormat="1" applyFont="1" applyBorder="1" applyAlignment="1">
      <alignment horizontal="right" vertical="center" shrinkToFit="1"/>
    </xf>
    <xf numFmtId="37" fontId="3" fillId="0" borderId="1" xfId="0" applyNumberFormat="1" applyFont="1" applyBorder="1" applyAlignment="1">
      <alignment horizontal="right" vertical="center"/>
    </xf>
    <xf numFmtId="37" fontId="3" fillId="0" borderId="3" xfId="0" applyNumberFormat="1" applyFont="1" applyBorder="1" applyAlignment="1">
      <alignment horizontal="right" vertical="center"/>
    </xf>
    <xf numFmtId="37" fontId="22" fillId="0" borderId="0" xfId="0" applyNumberFormat="1" applyFont="1" applyAlignment="1">
      <alignment horizontal="left" vertical="center" wrapText="1"/>
    </xf>
    <xf numFmtId="37" fontId="8" fillId="0" borderId="24" xfId="1" applyNumberFormat="1" applyFont="1" applyBorder="1" applyAlignment="1">
      <alignment horizontal="right" vertical="center" wrapText="1"/>
    </xf>
    <xf numFmtId="37" fontId="8" fillId="9" borderId="23" xfId="1" applyNumberFormat="1" applyFont="1" applyFill="1" applyBorder="1" applyAlignment="1">
      <alignment horizontal="right" vertical="center" wrapText="1"/>
    </xf>
    <xf numFmtId="37" fontId="8" fillId="0" borderId="41" xfId="1" applyNumberFormat="1" applyFont="1" applyBorder="1" applyAlignment="1">
      <alignment horizontal="right" vertical="center" wrapText="1"/>
    </xf>
    <xf numFmtId="37" fontId="8" fillId="0" borderId="26" xfId="1" applyNumberFormat="1" applyFont="1" applyBorder="1" applyAlignment="1">
      <alignment horizontal="right" vertical="center" wrapText="1"/>
    </xf>
    <xf numFmtId="37" fontId="8" fillId="0" borderId="25" xfId="1" applyNumberFormat="1" applyFont="1" applyBorder="1" applyAlignment="1">
      <alignment horizontal="right" vertical="center" wrapText="1"/>
    </xf>
    <xf numFmtId="37" fontId="8" fillId="0" borderId="26" xfId="0" applyNumberFormat="1" applyFont="1" applyBorder="1" applyAlignment="1">
      <alignment vertical="center" shrinkToFit="1"/>
    </xf>
    <xf numFmtId="37" fontId="8" fillId="0" borderId="25" xfId="0" applyNumberFormat="1" applyFont="1" applyBorder="1" applyAlignment="1">
      <alignment vertical="center" shrinkToFit="1"/>
    </xf>
    <xf numFmtId="37" fontId="5" fillId="0" borderId="26" xfId="0" applyNumberFormat="1" applyFont="1" applyBorder="1" applyAlignment="1">
      <alignment horizontal="right" vertical="center"/>
    </xf>
    <xf numFmtId="37" fontId="5" fillId="0" borderId="26" xfId="1" applyNumberFormat="1" applyFont="1" applyBorder="1" applyAlignment="1">
      <alignment horizontal="right" vertical="center"/>
    </xf>
    <xf numFmtId="37" fontId="5" fillId="0" borderId="25" xfId="1" applyNumberFormat="1" applyFont="1" applyBorder="1" applyAlignment="1">
      <alignment horizontal="right" vertical="center"/>
    </xf>
    <xf numFmtId="37" fontId="5" fillId="0" borderId="3" xfId="0" applyNumberFormat="1" applyFont="1" applyBorder="1" applyAlignment="1">
      <alignment horizontal="right" vertical="center"/>
    </xf>
    <xf numFmtId="37" fontId="5" fillId="0" borderId="1" xfId="0" applyNumberFormat="1" applyFont="1" applyBorder="1" applyAlignment="1">
      <alignment horizontal="right" vertical="center"/>
    </xf>
    <xf numFmtId="37" fontId="3" fillId="0" borderId="0" xfId="0" applyNumberFormat="1" applyFont="1" applyAlignment="1">
      <alignment vertical="center"/>
    </xf>
    <xf numFmtId="37" fontId="3" fillId="0" borderId="26" xfId="0" applyNumberFormat="1" applyFont="1" applyBorder="1" applyAlignment="1">
      <alignment vertical="center"/>
    </xf>
    <xf numFmtId="37" fontId="21" fillId="0" borderId="26" xfId="0" applyNumberFormat="1" applyFont="1" applyBorder="1" applyAlignment="1">
      <alignment vertical="center"/>
    </xf>
    <xf numFmtId="37" fontId="21" fillId="0" borderId="25" xfId="0" applyNumberFormat="1" applyFont="1" applyBorder="1" applyAlignment="1">
      <alignment vertical="center"/>
    </xf>
    <xf numFmtId="37" fontId="21" fillId="0" borderId="0" xfId="0" applyNumberFormat="1" applyFont="1" applyAlignment="1">
      <alignment vertical="center"/>
    </xf>
    <xf numFmtId="37" fontId="9" fillId="0" borderId="3" xfId="0" applyNumberFormat="1" applyFont="1" applyBorder="1" applyAlignment="1">
      <alignment vertical="center"/>
    </xf>
    <xf numFmtId="37" fontId="9" fillId="0" borderId="1" xfId="0" applyNumberFormat="1" applyFont="1" applyBorder="1" applyAlignment="1">
      <alignment vertical="center"/>
    </xf>
    <xf numFmtId="37" fontId="15" fillId="0" borderId="0" xfId="0" applyNumberFormat="1" applyFont="1" applyAlignment="1">
      <alignment vertical="center"/>
    </xf>
    <xf numFmtId="37" fontId="15" fillId="0" borderId="24" xfId="0" applyNumberFormat="1" applyFont="1" applyBorder="1" applyAlignment="1">
      <alignment horizontal="right" vertical="center"/>
    </xf>
    <xf numFmtId="37" fontId="15" fillId="0" borderId="26" xfId="0" applyNumberFormat="1" applyFont="1" applyBorder="1" applyAlignment="1">
      <alignment horizontal="right" vertical="center"/>
    </xf>
    <xf numFmtId="37" fontId="15" fillId="9" borderId="41" xfId="0" applyNumberFormat="1" applyFont="1" applyFill="1" applyBorder="1" applyAlignment="1">
      <alignment horizontal="right" vertical="center"/>
    </xf>
    <xf numFmtId="37" fontId="15" fillId="0" borderId="25" xfId="0" applyNumberFormat="1" applyFont="1" applyBorder="1" applyAlignment="1">
      <alignment horizontal="right" vertical="center"/>
    </xf>
    <xf numFmtId="37" fontId="15" fillId="0" borderId="3" xfId="0" applyNumberFormat="1" applyFont="1" applyBorder="1" applyAlignment="1">
      <alignment vertical="center"/>
    </xf>
    <xf numFmtId="37" fontId="15" fillId="0" borderId="1" xfId="0" applyNumberFormat="1" applyFont="1" applyBorder="1" applyAlignment="1">
      <alignment vertical="center"/>
    </xf>
    <xf numFmtId="37" fontId="5" fillId="0" borderId="25" xfId="0" applyNumberFormat="1" applyFont="1" applyBorder="1" applyAlignment="1">
      <alignment horizontal="right" vertical="center"/>
    </xf>
    <xf numFmtId="37" fontId="9" fillId="0" borderId="0" xfId="0" applyNumberFormat="1" applyFont="1" applyAlignment="1">
      <alignment vertical="center"/>
    </xf>
    <xf numFmtId="37" fontId="9" fillId="0" borderId="26" xfId="0" applyNumberFormat="1" applyFont="1" applyBorder="1" applyAlignment="1">
      <alignment vertical="center"/>
    </xf>
    <xf numFmtId="37" fontId="9" fillId="0" borderId="25" xfId="0" applyNumberFormat="1" applyFont="1" applyBorder="1" applyAlignment="1">
      <alignment vertical="center"/>
    </xf>
    <xf numFmtId="37" fontId="9" fillId="0" borderId="26" xfId="0" applyNumberFormat="1" applyFont="1" applyBorder="1" applyAlignment="1">
      <alignment horizontal="right" vertical="center"/>
    </xf>
    <xf numFmtId="37" fontId="9" fillId="0" borderId="25" xfId="0" applyNumberFormat="1" applyFont="1" applyBorder="1" applyAlignment="1">
      <alignment horizontal="right" vertical="center"/>
    </xf>
    <xf numFmtId="168" fontId="9" fillId="0" borderId="0" xfId="0" applyNumberFormat="1" applyFont="1" applyAlignment="1">
      <alignment vertical="center"/>
    </xf>
    <xf numFmtId="168" fontId="9" fillId="0" borderId="3" xfId="0" applyNumberFormat="1" applyFont="1" applyBorder="1" applyAlignment="1">
      <alignment vertical="center"/>
    </xf>
    <xf numFmtId="168" fontId="9" fillId="0" borderId="1" xfId="0" applyNumberFormat="1" applyFont="1" applyBorder="1" applyAlignment="1">
      <alignment vertical="center"/>
    </xf>
    <xf numFmtId="168" fontId="9" fillId="0" borderId="24" xfId="0" applyNumberFormat="1" applyFont="1" applyBorder="1" applyAlignment="1">
      <alignment vertical="center"/>
    </xf>
    <xf numFmtId="168" fontId="9" fillId="9" borderId="23" xfId="0" applyNumberFormat="1" applyFont="1" applyFill="1" applyBorder="1" applyAlignment="1">
      <alignment vertical="center"/>
    </xf>
    <xf numFmtId="168" fontId="9" fillId="0" borderId="26" xfId="0" applyNumberFormat="1" applyFont="1" applyBorder="1" applyAlignment="1">
      <alignment vertical="center"/>
    </xf>
    <xf numFmtId="168" fontId="9" fillId="0" borderId="26" xfId="0" applyNumberFormat="1" applyFont="1" applyBorder="1" applyAlignment="1">
      <alignment horizontal="right" vertical="center"/>
    </xf>
    <xf numFmtId="168" fontId="9" fillId="9" borderId="23" xfId="0" applyNumberFormat="1" applyFont="1" applyFill="1" applyBorder="1" applyAlignment="1">
      <alignment horizontal="right" vertical="center"/>
    </xf>
    <xf numFmtId="168" fontId="9" fillId="0" borderId="25" xfId="0" applyNumberFormat="1" applyFont="1" applyBorder="1" applyAlignment="1">
      <alignment vertical="center"/>
    </xf>
    <xf numFmtId="168" fontId="9" fillId="0" borderId="29" xfId="2" applyNumberFormat="1" applyFont="1" applyBorder="1" applyAlignment="1">
      <alignment vertical="center"/>
    </xf>
    <xf numFmtId="168" fontId="9" fillId="9" borderId="35" xfId="2" applyNumberFormat="1" applyFont="1" applyFill="1" applyBorder="1" applyAlignment="1">
      <alignment vertical="center"/>
    </xf>
    <xf numFmtId="168" fontId="9" fillId="0" borderId="30" xfId="2" applyNumberFormat="1" applyFont="1" applyBorder="1" applyAlignment="1">
      <alignment vertical="center"/>
    </xf>
    <xf numFmtId="168" fontId="9" fillId="9" borderId="41" xfId="0" applyNumberFormat="1" applyFont="1" applyFill="1" applyBorder="1" applyAlignment="1">
      <alignment vertical="center"/>
    </xf>
    <xf numFmtId="168" fontId="9" fillId="9" borderId="42" xfId="2" applyNumberFormat="1" applyFont="1" applyFill="1" applyBorder="1" applyAlignment="1">
      <alignment vertical="center"/>
    </xf>
    <xf numFmtId="168" fontId="9" fillId="0" borderId="41" xfId="0" applyNumberFormat="1" applyFont="1" applyBorder="1" applyAlignment="1">
      <alignment vertical="center"/>
    </xf>
    <xf numFmtId="168" fontId="9" fillId="0" borderId="42" xfId="2" applyNumberFormat="1" applyFont="1" applyBorder="1" applyAlignment="1">
      <alignment vertical="center"/>
    </xf>
    <xf numFmtId="168" fontId="9" fillId="0" borderId="31" xfId="0" applyNumberFormat="1" applyFont="1" applyBorder="1" applyAlignment="1">
      <alignment vertical="center"/>
    </xf>
    <xf numFmtId="168" fontId="9" fillId="0" borderId="24" xfId="0" applyNumberFormat="1" applyFont="1" applyBorder="1" applyAlignment="1">
      <alignment horizontal="right" vertical="center"/>
    </xf>
    <xf numFmtId="168" fontId="9" fillId="0" borderId="29" xfId="2" applyNumberFormat="1" applyFont="1" applyBorder="1" applyAlignment="1">
      <alignment horizontal="right" vertical="center"/>
    </xf>
    <xf numFmtId="168" fontId="9" fillId="9" borderId="35" xfId="2" applyNumberFormat="1" applyFont="1" applyFill="1" applyBorder="1" applyAlignment="1">
      <alignment horizontal="right" vertical="center"/>
    </xf>
    <xf numFmtId="168" fontId="9" fillId="0" borderId="30" xfId="2" applyNumberFormat="1" applyFont="1" applyBorder="1" applyAlignment="1">
      <alignment horizontal="right" vertical="center"/>
    </xf>
    <xf numFmtId="168" fontId="9" fillId="9" borderId="42" xfId="2" applyNumberFormat="1" applyFont="1" applyFill="1" applyBorder="1" applyAlignment="1">
      <alignment horizontal="right" vertical="center"/>
    </xf>
    <xf numFmtId="168" fontId="9" fillId="9" borderId="41" xfId="0" applyNumberFormat="1" applyFont="1" applyFill="1" applyBorder="1" applyAlignment="1">
      <alignment horizontal="right" vertical="center"/>
    </xf>
    <xf numFmtId="168" fontId="9" fillId="0" borderId="30" xfId="0" applyNumberFormat="1" applyFont="1" applyBorder="1" applyAlignment="1">
      <alignment horizontal="right" vertical="center"/>
    </xf>
    <xf numFmtId="168" fontId="9" fillId="0" borderId="25" xfId="0" applyNumberFormat="1" applyFont="1" applyBorder="1" applyAlignment="1">
      <alignment horizontal="right" vertical="center"/>
    </xf>
    <xf numFmtId="168" fontId="9" fillId="0" borderId="31" xfId="0" applyNumberFormat="1" applyFont="1" applyBorder="1" applyAlignment="1">
      <alignment horizontal="right" vertical="center"/>
    </xf>
    <xf numFmtId="168" fontId="15" fillId="0" borderId="0" xfId="0" applyNumberFormat="1" applyFont="1" applyAlignment="1">
      <alignment vertical="center"/>
    </xf>
    <xf numFmtId="168" fontId="15" fillId="0" borderId="3" xfId="0" applyNumberFormat="1" applyFont="1" applyBorder="1" applyAlignment="1">
      <alignment vertical="center"/>
    </xf>
    <xf numFmtId="168" fontId="15" fillId="0" borderId="1" xfId="0" applyNumberFormat="1" applyFont="1" applyBorder="1" applyAlignment="1">
      <alignment vertical="center"/>
    </xf>
    <xf numFmtId="168" fontId="15" fillId="0" borderId="24" xfId="0" applyNumberFormat="1" applyFont="1" applyBorder="1" applyAlignment="1">
      <alignment horizontal="right" vertical="center"/>
    </xf>
    <xf numFmtId="168" fontId="15" fillId="0" borderId="29" xfId="2" applyNumberFormat="1" applyFont="1" applyBorder="1" applyAlignment="1">
      <alignment horizontal="right" vertical="center"/>
    </xf>
    <xf numFmtId="168" fontId="15" fillId="9" borderId="23" xfId="0" applyNumberFormat="1" applyFont="1" applyFill="1" applyBorder="1" applyAlignment="1">
      <alignment horizontal="right" vertical="center"/>
    </xf>
    <xf numFmtId="168" fontId="15" fillId="9" borderId="35" xfId="2" applyNumberFormat="1" applyFont="1" applyFill="1" applyBorder="1" applyAlignment="1">
      <alignment horizontal="right" vertical="center"/>
    </xf>
    <xf numFmtId="168" fontId="15" fillId="0" borderId="26" xfId="0" applyNumberFormat="1" applyFont="1" applyBorder="1" applyAlignment="1">
      <alignment horizontal="right" vertical="center"/>
    </xf>
    <xf numFmtId="168" fontId="15" fillId="0" borderId="30" xfId="2" applyNumberFormat="1" applyFont="1" applyBorder="1" applyAlignment="1">
      <alignment horizontal="right" vertical="center"/>
    </xf>
    <xf numFmtId="168" fontId="15" fillId="0" borderId="26" xfId="0" applyNumberFormat="1" applyFont="1" applyBorder="1" applyAlignment="1">
      <alignment vertical="center"/>
    </xf>
    <xf numFmtId="168" fontId="15" fillId="9" borderId="41" xfId="0" applyNumberFormat="1" applyFont="1" applyFill="1" applyBorder="1" applyAlignment="1">
      <alignment horizontal="right" vertical="center"/>
    </xf>
    <xf numFmtId="168" fontId="15" fillId="9" borderId="42" xfId="2" applyNumberFormat="1" applyFont="1" applyFill="1" applyBorder="1" applyAlignment="1">
      <alignment horizontal="right" vertical="center"/>
    </xf>
    <xf numFmtId="168" fontId="15" fillId="0" borderId="30" xfId="0" applyNumberFormat="1" applyFont="1" applyBorder="1" applyAlignment="1">
      <alignment vertical="center"/>
    </xf>
    <xf numFmtId="168" fontId="15" fillId="0" borderId="25" xfId="0" applyNumberFormat="1" applyFont="1" applyBorder="1" applyAlignment="1">
      <alignment vertical="center"/>
    </xf>
    <xf numFmtId="168" fontId="15" fillId="0" borderId="31" xfId="0" applyNumberFormat="1" applyFont="1" applyBorder="1" applyAlignment="1">
      <alignment vertical="center"/>
    </xf>
    <xf numFmtId="168" fontId="15" fillId="0" borderId="41" xfId="0" applyNumberFormat="1" applyFont="1" applyBorder="1" applyAlignment="1">
      <alignment horizontal="right" vertical="center"/>
    </xf>
    <xf numFmtId="168" fontId="15" fillId="0" borderId="42" xfId="2" applyNumberFormat="1" applyFont="1" applyBorder="1" applyAlignment="1">
      <alignment horizontal="right" vertical="center"/>
    </xf>
    <xf numFmtId="168" fontId="15" fillId="0" borderId="30" xfId="0" applyNumberFormat="1" applyFont="1" applyBorder="1" applyAlignment="1">
      <alignment horizontal="right" vertical="center"/>
    </xf>
    <xf numFmtId="168" fontId="15" fillId="0" borderId="25" xfId="0" applyNumberFormat="1" applyFont="1" applyBorder="1" applyAlignment="1">
      <alignment horizontal="right" vertical="center"/>
    </xf>
    <xf numFmtId="168" fontId="15" fillId="0" borderId="31" xfId="0" applyNumberFormat="1" applyFont="1" applyBorder="1" applyAlignment="1">
      <alignment horizontal="right" vertical="center"/>
    </xf>
    <xf numFmtId="168" fontId="15" fillId="0" borderId="24" xfId="0" applyNumberFormat="1" applyFont="1" applyBorder="1" applyAlignment="1">
      <alignment vertical="center"/>
    </xf>
    <xf numFmtId="168" fontId="15" fillId="0" borderId="29" xfId="2" applyNumberFormat="1" applyFont="1" applyBorder="1" applyAlignment="1">
      <alignment vertical="center"/>
    </xf>
    <xf numFmtId="168" fontId="15" fillId="9" borderId="23" xfId="0" applyNumberFormat="1" applyFont="1" applyFill="1" applyBorder="1" applyAlignment="1">
      <alignment vertical="center"/>
    </xf>
    <xf numFmtId="168" fontId="15" fillId="9" borderId="35" xfId="2" applyNumberFormat="1" applyFont="1" applyFill="1" applyBorder="1" applyAlignment="1">
      <alignment vertical="center"/>
    </xf>
    <xf numFmtId="168" fontId="15" fillId="0" borderId="30" xfId="2" applyNumberFormat="1" applyFont="1" applyBorder="1" applyAlignment="1">
      <alignment vertical="center"/>
    </xf>
    <xf numFmtId="168" fontId="15" fillId="9" borderId="41" xfId="0" applyNumberFormat="1" applyFont="1" applyFill="1" applyBorder="1" applyAlignment="1">
      <alignment vertical="center"/>
    </xf>
    <xf numFmtId="168" fontId="15" fillId="9" borderId="42" xfId="2" applyNumberFormat="1" applyFont="1" applyFill="1" applyBorder="1" applyAlignment="1">
      <alignment vertical="center"/>
    </xf>
    <xf numFmtId="168" fontId="16" fillId="0" borderId="30" xfId="0" applyNumberFormat="1" applyFont="1" applyBorder="1" applyAlignment="1">
      <alignment vertical="center"/>
    </xf>
    <xf numFmtId="168" fontId="19" fillId="0" borderId="31" xfId="0" applyNumberFormat="1" applyFont="1" applyBorder="1" applyAlignment="1">
      <alignment vertical="center"/>
    </xf>
    <xf numFmtId="168" fontId="9" fillId="0" borderId="1" xfId="2" applyNumberFormat="1" applyFont="1" applyFill="1" applyBorder="1" applyAlignment="1">
      <alignment vertical="center"/>
    </xf>
    <xf numFmtId="168" fontId="9" fillId="0" borderId="3" xfId="0" applyNumberFormat="1" applyFont="1" applyBorder="1" applyAlignment="1">
      <alignment vertical="center" wrapText="1"/>
    </xf>
    <xf numFmtId="168" fontId="9" fillId="0" borderId="30" xfId="0" applyNumberFormat="1" applyFont="1" applyBorder="1" applyAlignment="1">
      <alignment vertical="center"/>
    </xf>
    <xf numFmtId="168" fontId="5" fillId="0" borderId="3" xfId="0" applyNumberFormat="1" applyFont="1" applyBorder="1" applyAlignment="1">
      <alignment vertical="center"/>
    </xf>
    <xf numFmtId="168" fontId="5" fillId="0" borderId="1" xfId="0" applyNumberFormat="1" applyFont="1" applyBorder="1" applyAlignment="1">
      <alignment vertical="center"/>
    </xf>
    <xf numFmtId="168" fontId="5" fillId="0" borderId="24" xfId="0" applyNumberFormat="1" applyFont="1" applyBorder="1" applyAlignment="1">
      <alignment horizontal="right" vertical="center"/>
    </xf>
    <xf numFmtId="168" fontId="5" fillId="9" borderId="23" xfId="0" applyNumberFormat="1" applyFont="1" applyFill="1" applyBorder="1" applyAlignment="1">
      <alignment horizontal="right" vertical="center"/>
    </xf>
    <xf numFmtId="168" fontId="5" fillId="9" borderId="35" xfId="2" applyNumberFormat="1" applyFont="1" applyFill="1" applyBorder="1" applyAlignment="1">
      <alignment horizontal="right" vertical="center"/>
    </xf>
    <xf numFmtId="168" fontId="5" fillId="0" borderId="26" xfId="0" applyNumberFormat="1" applyFont="1" applyBorder="1" applyAlignment="1">
      <alignment horizontal="right" vertical="center"/>
    </xf>
    <xf numFmtId="168" fontId="23" fillId="9" borderId="23" xfId="0" applyNumberFormat="1" applyFont="1" applyFill="1" applyBorder="1" applyAlignment="1">
      <alignment horizontal="right" vertical="center"/>
    </xf>
    <xf numFmtId="168" fontId="5" fillId="0" borderId="41" xfId="0" applyNumberFormat="1" applyFont="1" applyBorder="1" applyAlignment="1">
      <alignment horizontal="right" vertical="center"/>
    </xf>
    <xf numFmtId="168" fontId="5" fillId="0" borderId="30" xfId="0" applyNumberFormat="1" applyFont="1" applyBorder="1" applyAlignment="1">
      <alignment horizontal="right" vertical="center"/>
    </xf>
    <xf numFmtId="168" fontId="5" fillId="0" borderId="25" xfId="0" applyNumberFormat="1" applyFont="1" applyBorder="1" applyAlignment="1">
      <alignment horizontal="right" vertical="center"/>
    </xf>
    <xf numFmtId="168" fontId="5" fillId="0" borderId="31" xfId="0" applyNumberFormat="1" applyFont="1" applyBorder="1" applyAlignment="1">
      <alignment horizontal="right" vertical="center"/>
    </xf>
    <xf numFmtId="168" fontId="23" fillId="9" borderId="41" xfId="0" applyNumberFormat="1" applyFont="1" applyFill="1" applyBorder="1" applyAlignment="1">
      <alignment horizontal="right" vertical="center"/>
    </xf>
    <xf numFmtId="168" fontId="5" fillId="9" borderId="42" xfId="2" applyNumberFormat="1" applyFont="1" applyFill="1" applyBorder="1" applyAlignment="1">
      <alignment horizontal="right" vertical="center"/>
    </xf>
    <xf numFmtId="168" fontId="15" fillId="0" borderId="1" xfId="2" applyNumberFormat="1" applyFont="1" applyFill="1" applyBorder="1" applyAlignment="1">
      <alignment vertical="center"/>
    </xf>
    <xf numFmtId="168" fontId="15" fillId="0" borderId="24" xfId="2" applyNumberFormat="1" applyFont="1" applyBorder="1" applyAlignment="1">
      <alignment horizontal="right" vertical="center"/>
    </xf>
    <xf numFmtId="168" fontId="15" fillId="9" borderId="41" xfId="2" applyNumberFormat="1" applyFont="1" applyFill="1" applyBorder="1" applyAlignment="1">
      <alignment horizontal="right" vertical="center"/>
    </xf>
    <xf numFmtId="168" fontId="15" fillId="0" borderId="26" xfId="2" applyNumberFormat="1" applyFont="1" applyBorder="1" applyAlignment="1">
      <alignment horizontal="right" vertical="center"/>
    </xf>
    <xf numFmtId="168" fontId="15" fillId="0" borderId="25" xfId="2" applyNumberFormat="1" applyFont="1" applyBorder="1" applyAlignment="1">
      <alignment horizontal="right" vertical="center"/>
    </xf>
    <xf numFmtId="168" fontId="3" fillId="0" borderId="0" xfId="0" applyNumberFormat="1" applyFont="1" applyAlignment="1">
      <alignment vertical="center"/>
    </xf>
    <xf numFmtId="168" fontId="3" fillId="0" borderId="3" xfId="0" applyNumberFormat="1" applyFont="1" applyBorder="1" applyAlignment="1">
      <alignment vertical="center"/>
    </xf>
    <xf numFmtId="168" fontId="3" fillId="0" borderId="1" xfId="0" applyNumberFormat="1" applyFont="1" applyBorder="1" applyAlignment="1">
      <alignment vertical="center"/>
    </xf>
    <xf numFmtId="168" fontId="3" fillId="0" borderId="24" xfId="0" applyNumberFormat="1" applyFont="1" applyBorder="1" applyAlignment="1">
      <alignment vertical="center"/>
    </xf>
    <xf numFmtId="168" fontId="3" fillId="0" borderId="29" xfId="2" applyNumberFormat="1" applyFont="1" applyBorder="1" applyAlignment="1">
      <alignment vertical="center"/>
    </xf>
    <xf numFmtId="168" fontId="3" fillId="9" borderId="23" xfId="0" applyNumberFormat="1" applyFont="1" applyFill="1" applyBorder="1" applyAlignment="1">
      <alignment vertical="center"/>
    </xf>
    <xf numFmtId="168" fontId="3" fillId="9" borderId="35" xfId="2" applyNumberFormat="1" applyFont="1" applyFill="1" applyBorder="1" applyAlignment="1">
      <alignment vertical="center"/>
    </xf>
    <xf numFmtId="168" fontId="3" fillId="0" borderId="26" xfId="0" applyNumberFormat="1" applyFont="1" applyBorder="1" applyAlignment="1">
      <alignment vertical="center"/>
    </xf>
    <xf numFmtId="168" fontId="3" fillId="0" borderId="30" xfId="2" applyNumberFormat="1" applyFont="1" applyBorder="1" applyAlignment="1">
      <alignment vertical="center"/>
    </xf>
    <xf numFmtId="168" fontId="21" fillId="0" borderId="26" xfId="0" applyNumberFormat="1" applyFont="1" applyBorder="1" applyAlignment="1">
      <alignment vertical="center"/>
    </xf>
    <xf numFmtId="168" fontId="3" fillId="9" borderId="41" xfId="0" applyNumberFormat="1" applyFont="1" applyFill="1" applyBorder="1" applyAlignment="1">
      <alignment vertical="center"/>
    </xf>
    <xf numFmtId="168" fontId="3" fillId="9" borderId="42" xfId="2" applyNumberFormat="1" applyFont="1" applyFill="1" applyBorder="1" applyAlignment="1">
      <alignment vertical="center"/>
    </xf>
    <xf numFmtId="168" fontId="3" fillId="0" borderId="30" xfId="0" applyNumberFormat="1" applyFont="1" applyBorder="1" applyAlignment="1">
      <alignment vertical="center"/>
    </xf>
    <xf numFmtId="168" fontId="3" fillId="0" borderId="25" xfId="0" applyNumberFormat="1" applyFont="1" applyBorder="1" applyAlignment="1">
      <alignment vertical="center"/>
    </xf>
    <xf numFmtId="168" fontId="3" fillId="0" borderId="31" xfId="0" applyNumberFormat="1" applyFont="1" applyBorder="1" applyAlignment="1">
      <alignment vertical="center"/>
    </xf>
    <xf numFmtId="168" fontId="21" fillId="9" borderId="23" xfId="0" applyNumberFormat="1" applyFont="1" applyFill="1" applyBorder="1" applyAlignment="1">
      <alignment vertical="center"/>
    </xf>
    <xf numFmtId="168" fontId="3" fillId="0" borderId="41" xfId="0" applyNumberFormat="1" applyFont="1" applyBorder="1" applyAlignment="1">
      <alignment vertical="center"/>
    </xf>
    <xf numFmtId="168" fontId="3" fillId="0" borderId="42" xfId="2" applyNumberFormat="1" applyFont="1" applyBorder="1" applyAlignment="1">
      <alignment vertical="center"/>
    </xf>
    <xf numFmtId="168" fontId="5" fillId="0" borderId="0" xfId="0" applyNumberFormat="1" applyFont="1" applyAlignment="1">
      <alignment horizontal="right" vertical="center"/>
    </xf>
    <xf numFmtId="168" fontId="5" fillId="0" borderId="3" xfId="0" applyNumberFormat="1" applyFont="1" applyBorder="1" applyAlignment="1">
      <alignment horizontal="right" vertical="center"/>
    </xf>
    <xf numFmtId="168" fontId="5" fillId="0" borderId="1" xfId="0" applyNumberFormat="1" applyFont="1" applyBorder="1" applyAlignment="1">
      <alignment horizontal="right" vertical="center"/>
    </xf>
    <xf numFmtId="168" fontId="7" fillId="0" borderId="24" xfId="2" applyNumberFormat="1" applyFont="1" applyBorder="1" applyAlignment="1">
      <alignment horizontal="right" vertical="center" shrinkToFit="1"/>
    </xf>
    <xf numFmtId="168" fontId="5" fillId="0" borderId="29" xfId="2" applyNumberFormat="1" applyFont="1" applyBorder="1" applyAlignment="1">
      <alignment vertical="center"/>
    </xf>
    <xf numFmtId="168" fontId="7" fillId="9" borderId="23" xfId="2" applyNumberFormat="1" applyFont="1" applyFill="1" applyBorder="1" applyAlignment="1">
      <alignment horizontal="right" vertical="center" shrinkToFit="1"/>
    </xf>
    <xf numFmtId="168" fontId="5" fillId="9" borderId="35" xfId="2" applyNumberFormat="1" applyFont="1" applyFill="1" applyBorder="1" applyAlignment="1">
      <alignment vertical="center"/>
    </xf>
    <xf numFmtId="168" fontId="7" fillId="0" borderId="26" xfId="2" applyNumberFormat="1" applyFont="1" applyBorder="1" applyAlignment="1">
      <alignment horizontal="right" vertical="center" shrinkToFit="1"/>
    </xf>
    <xf numFmtId="168" fontId="5" fillId="0" borderId="30" xfId="2" applyNumberFormat="1" applyFont="1" applyBorder="1" applyAlignment="1">
      <alignment vertical="center"/>
    </xf>
    <xf numFmtId="168" fontId="7" fillId="9" borderId="41" xfId="2" applyNumberFormat="1" applyFont="1" applyFill="1" applyBorder="1" applyAlignment="1">
      <alignment horizontal="right" vertical="center" shrinkToFit="1"/>
    </xf>
    <xf numFmtId="168" fontId="5" fillId="9" borderId="42" xfId="2" applyNumberFormat="1" applyFont="1" applyFill="1" applyBorder="1" applyAlignment="1">
      <alignment vertical="center"/>
    </xf>
    <xf numFmtId="168" fontId="5" fillId="0" borderId="30" xfId="0" applyNumberFormat="1" applyFont="1" applyBorder="1" applyAlignment="1">
      <alignment vertical="center"/>
    </xf>
    <xf numFmtId="168" fontId="7" fillId="0" borderId="25" xfId="2" applyNumberFormat="1" applyFont="1" applyBorder="1" applyAlignment="1">
      <alignment horizontal="right" vertical="center" shrinkToFit="1"/>
    </xf>
    <xf numFmtId="168" fontId="5" fillId="0" borderId="31" xfId="0" applyNumberFormat="1" applyFont="1" applyBorder="1" applyAlignment="1">
      <alignment vertical="center"/>
    </xf>
    <xf numFmtId="168" fontId="7" fillId="0" borderId="41" xfId="2" applyNumberFormat="1" applyFont="1" applyBorder="1" applyAlignment="1">
      <alignment horizontal="right" vertical="center" shrinkToFit="1"/>
    </xf>
    <xf numFmtId="168" fontId="5" fillId="0" borderId="42" xfId="2" applyNumberFormat="1" applyFont="1" applyBorder="1" applyAlignment="1">
      <alignment vertical="center"/>
    </xf>
    <xf numFmtId="168" fontId="7" fillId="9" borderId="23" xfId="2" applyNumberFormat="1" applyFont="1" applyFill="1" applyBorder="1" applyAlignment="1">
      <alignment horizontal="right" vertical="center" wrapText="1"/>
    </xf>
    <xf numFmtId="168" fontId="3" fillId="0" borderId="0" xfId="0" applyNumberFormat="1" applyFont="1" applyAlignment="1">
      <alignment horizontal="right" vertical="center"/>
    </xf>
    <xf numFmtId="168" fontId="8" fillId="0" borderId="24" xfId="2" applyNumberFormat="1" applyFont="1" applyBorder="1" applyAlignment="1">
      <alignment horizontal="right" vertical="center" shrinkToFit="1"/>
    </xf>
    <xf numFmtId="168" fontId="8" fillId="9" borderId="23" xfId="2" applyNumberFormat="1" applyFont="1" applyFill="1" applyBorder="1" applyAlignment="1">
      <alignment horizontal="right" vertical="center" shrinkToFit="1"/>
    </xf>
    <xf numFmtId="168" fontId="8" fillId="0" borderId="26" xfId="2" applyNumberFormat="1" applyFont="1" applyBorder="1" applyAlignment="1">
      <alignment horizontal="right" vertical="center" shrinkToFit="1"/>
    </xf>
    <xf numFmtId="168" fontId="8" fillId="9" borderId="41" xfId="2" applyNumberFormat="1" applyFont="1" applyFill="1" applyBorder="1" applyAlignment="1">
      <alignment horizontal="right" vertical="center" shrinkToFit="1"/>
    </xf>
    <xf numFmtId="168" fontId="8" fillId="0" borderId="25" xfId="2" applyNumberFormat="1" applyFont="1" applyBorder="1" applyAlignment="1">
      <alignment horizontal="right" vertical="center" shrinkToFit="1"/>
    </xf>
    <xf numFmtId="168" fontId="8" fillId="0" borderId="24" xfId="2" applyNumberFormat="1" applyFont="1" applyBorder="1" applyAlignment="1">
      <alignment vertical="center" shrinkToFit="1"/>
    </xf>
    <xf numFmtId="168" fontId="8" fillId="9" borderId="23" xfId="2" applyNumberFormat="1" applyFont="1" applyFill="1" applyBorder="1" applyAlignment="1">
      <alignment vertical="center" shrinkToFit="1"/>
    </xf>
    <xf numFmtId="168" fontId="8" fillId="0" borderId="26" xfId="2" applyNumberFormat="1" applyFont="1" applyBorder="1" applyAlignment="1">
      <alignment vertical="center" shrinkToFit="1"/>
    </xf>
    <xf numFmtId="168" fontId="8" fillId="9" borderId="41" xfId="2" applyNumberFormat="1" applyFont="1" applyFill="1" applyBorder="1" applyAlignment="1">
      <alignment vertical="center" shrinkToFit="1"/>
    </xf>
    <xf numFmtId="168" fontId="8" fillId="0" borderId="25" xfId="2" applyNumberFormat="1" applyFont="1" applyBorder="1" applyAlignment="1">
      <alignment vertical="center" shrinkToFit="1"/>
    </xf>
    <xf numFmtId="168" fontId="7" fillId="0" borderId="24" xfId="2" applyNumberFormat="1" applyFont="1" applyBorder="1" applyAlignment="1">
      <alignment vertical="center" shrinkToFit="1"/>
    </xf>
    <xf numFmtId="168" fontId="7" fillId="9" borderId="23" xfId="2" applyNumberFormat="1" applyFont="1" applyFill="1" applyBorder="1" applyAlignment="1">
      <alignment vertical="center" shrinkToFit="1"/>
    </xf>
    <xf numFmtId="168" fontId="7" fillId="0" borderId="26" xfId="2" applyNumberFormat="1" applyFont="1" applyBorder="1" applyAlignment="1">
      <alignment vertical="center" shrinkToFit="1"/>
    </xf>
    <xf numFmtId="168" fontId="7" fillId="0" borderId="41" xfId="2" applyNumberFormat="1" applyFont="1" applyBorder="1" applyAlignment="1">
      <alignment vertical="center" shrinkToFit="1"/>
    </xf>
    <xf numFmtId="168" fontId="22" fillId="0" borderId="0" xfId="0" applyNumberFormat="1" applyFont="1" applyAlignment="1">
      <alignment horizontal="left" vertical="center" wrapText="1"/>
    </xf>
    <xf numFmtId="168" fontId="3" fillId="0" borderId="24" xfId="0" applyNumberFormat="1" applyFont="1" applyBorder="1" applyAlignment="1">
      <alignment horizontal="right" vertical="center"/>
    </xf>
    <xf numFmtId="168" fontId="3" fillId="9" borderId="23" xfId="0" applyNumberFormat="1" applyFont="1" applyFill="1" applyBorder="1" applyAlignment="1">
      <alignment horizontal="right" vertical="center"/>
    </xf>
    <xf numFmtId="168" fontId="3" fillId="0" borderId="41" xfId="0" applyNumberFormat="1" applyFont="1" applyBorder="1" applyAlignment="1">
      <alignment horizontal="right" vertical="center"/>
    </xf>
    <xf numFmtId="168" fontId="3" fillId="0" borderId="26" xfId="0" applyNumberFormat="1" applyFont="1" applyBorder="1" applyAlignment="1">
      <alignment horizontal="right" vertical="center"/>
    </xf>
    <xf numFmtId="168" fontId="3" fillId="0" borderId="25" xfId="0" applyNumberFormat="1" applyFont="1" applyBorder="1" applyAlignment="1">
      <alignment horizontal="right" vertical="center"/>
    </xf>
    <xf numFmtId="168" fontId="8" fillId="0" borderId="24" xfId="0" applyNumberFormat="1" applyFont="1" applyBorder="1" applyAlignment="1">
      <alignment horizontal="right" vertical="center" shrinkToFit="1"/>
    </xf>
    <xf numFmtId="168" fontId="8" fillId="9" borderId="23" xfId="0" applyNumberFormat="1" applyFont="1" applyFill="1" applyBorder="1" applyAlignment="1">
      <alignment horizontal="right" vertical="center" shrinkToFit="1"/>
    </xf>
    <xf numFmtId="168" fontId="8" fillId="0" borderId="26" xfId="0" applyNumberFormat="1" applyFont="1" applyBorder="1" applyAlignment="1">
      <alignment horizontal="right" vertical="center" shrinkToFit="1"/>
    </xf>
    <xf numFmtId="168" fontId="8" fillId="0" borderId="41" xfId="0" applyNumberFormat="1" applyFont="1" applyBorder="1" applyAlignment="1">
      <alignment horizontal="right" vertical="center" shrinkToFit="1"/>
    </xf>
    <xf numFmtId="168" fontId="8" fillId="0" borderId="25" xfId="0" applyNumberFormat="1" applyFont="1" applyBorder="1" applyAlignment="1">
      <alignment horizontal="right" vertical="center" shrinkToFit="1"/>
    </xf>
    <xf numFmtId="168" fontId="8" fillId="9" borderId="41" xfId="0" applyNumberFormat="1" applyFont="1" applyFill="1" applyBorder="1" applyAlignment="1">
      <alignment horizontal="right" vertical="center" shrinkToFit="1"/>
    </xf>
    <xf numFmtId="168" fontId="3" fillId="0" borderId="1" xfId="0" applyNumberFormat="1" applyFont="1" applyBorder="1" applyAlignment="1">
      <alignment horizontal="right" vertical="center"/>
    </xf>
    <xf numFmtId="168" fontId="8" fillId="0" borderId="35" xfId="0" applyNumberFormat="1" applyFont="1" applyBorder="1" applyAlignment="1">
      <alignment horizontal="right" vertical="center" shrinkToFit="1"/>
    </xf>
    <xf numFmtId="168" fontId="3" fillId="0" borderId="35" xfId="2" applyNumberFormat="1" applyFont="1" applyFill="1" applyBorder="1" applyAlignment="1">
      <alignment vertical="center"/>
    </xf>
    <xf numFmtId="168" fontId="8" fillId="9" borderId="35" xfId="0" applyNumberFormat="1" applyFont="1" applyFill="1" applyBorder="1" applyAlignment="1">
      <alignment horizontal="right" vertical="center" shrinkToFit="1"/>
    </xf>
    <xf numFmtId="168" fontId="8" fillId="0" borderId="42" xfId="0" applyNumberFormat="1" applyFont="1" applyBorder="1" applyAlignment="1">
      <alignment horizontal="right" vertical="center" shrinkToFit="1"/>
    </xf>
    <xf numFmtId="168" fontId="8" fillId="9" borderId="42" xfId="0" applyNumberFormat="1" applyFont="1" applyFill="1" applyBorder="1" applyAlignment="1">
      <alignment horizontal="right" vertical="center" shrinkToFit="1"/>
    </xf>
    <xf numFmtId="168" fontId="8" fillId="0" borderId="23" xfId="0" applyNumberFormat="1" applyFont="1" applyBorder="1" applyAlignment="1">
      <alignment horizontal="right" vertical="center" shrinkToFit="1"/>
    </xf>
    <xf numFmtId="168" fontId="7" fillId="0" borderId="29" xfId="2" applyNumberFormat="1" applyFont="1" applyBorder="1" applyAlignment="1">
      <alignment vertical="center" shrinkToFit="1"/>
    </xf>
    <xf numFmtId="168" fontId="7" fillId="9" borderId="41" xfId="2" applyNumberFormat="1" applyFont="1" applyFill="1" applyBorder="1" applyAlignment="1">
      <alignment vertical="center" shrinkToFit="1"/>
    </xf>
    <xf numFmtId="168" fontId="7" fillId="9" borderId="42" xfId="2" applyNumberFormat="1" applyFont="1" applyFill="1" applyBorder="1" applyAlignment="1">
      <alignment vertical="center" shrinkToFit="1"/>
    </xf>
    <xf numFmtId="168" fontId="7" fillId="0" borderId="30" xfId="2" applyNumberFormat="1" applyFont="1" applyBorder="1" applyAlignment="1">
      <alignment vertical="center" shrinkToFit="1"/>
    </xf>
    <xf numFmtId="168" fontId="7" fillId="0" borderId="30" xfId="0" applyNumberFormat="1" applyFont="1" applyBorder="1" applyAlignment="1">
      <alignment vertical="center" shrinkToFit="1"/>
    </xf>
    <xf numFmtId="168" fontId="7" fillId="0" borderId="25" xfId="2" applyNumberFormat="1" applyFont="1" applyBorder="1" applyAlignment="1">
      <alignment vertical="center" shrinkToFit="1"/>
    </xf>
    <xf numFmtId="168" fontId="7" fillId="0" borderId="31" xfId="0" applyNumberFormat="1" applyFont="1" applyBorder="1" applyAlignment="1">
      <alignment vertical="center" shrinkToFit="1"/>
    </xf>
    <xf numFmtId="168" fontId="7" fillId="9" borderId="35" xfId="2" applyNumberFormat="1" applyFont="1" applyFill="1" applyBorder="1" applyAlignment="1">
      <alignment vertical="center" shrinkToFit="1"/>
    </xf>
    <xf numFmtId="168" fontId="7" fillId="0" borderId="42" xfId="2" applyNumberFormat="1" applyFont="1" applyBorder="1" applyAlignment="1">
      <alignment vertical="center" shrinkToFit="1"/>
    </xf>
    <xf numFmtId="168" fontId="7" fillId="0" borderId="24" xfId="0" applyNumberFormat="1" applyFont="1" applyBorder="1" applyAlignment="1">
      <alignment vertical="center" shrinkToFit="1"/>
    </xf>
    <xf numFmtId="168" fontId="7" fillId="9" borderId="23" xfId="0" applyNumberFormat="1" applyFont="1" applyFill="1" applyBorder="1" applyAlignment="1">
      <alignment vertical="center" shrinkToFit="1"/>
    </xf>
    <xf numFmtId="168" fontId="7" fillId="0" borderId="26" xfId="0" applyNumberFormat="1" applyFont="1" applyBorder="1" applyAlignment="1">
      <alignment vertical="center" shrinkToFit="1"/>
    </xf>
    <xf numFmtId="168" fontId="7" fillId="9" borderId="41" xfId="0" applyNumberFormat="1" applyFont="1" applyFill="1" applyBorder="1" applyAlignment="1">
      <alignment vertical="center" shrinkToFit="1"/>
    </xf>
    <xf numFmtId="168" fontId="7" fillId="0" borderId="25" xfId="0" applyNumberFormat="1" applyFont="1" applyBorder="1" applyAlignment="1">
      <alignment vertical="center" shrinkToFit="1"/>
    </xf>
    <xf numFmtId="168" fontId="3" fillId="0" borderId="23" xfId="0" applyNumberFormat="1" applyFont="1" applyBorder="1" applyAlignment="1">
      <alignment horizontal="right" vertical="center"/>
    </xf>
    <xf numFmtId="168" fontId="3" fillId="0" borderId="0" xfId="0" applyNumberFormat="1" applyFont="1" applyAlignment="1">
      <alignment horizontal="left" vertical="center"/>
    </xf>
    <xf numFmtId="168" fontId="8" fillId="0" borderId="41" xfId="0" applyNumberFormat="1" applyFont="1" applyBorder="1" applyAlignment="1">
      <alignment horizontal="right" vertical="center" wrapText="1"/>
    </xf>
    <xf numFmtId="168" fontId="8" fillId="0" borderId="26" xfId="0" applyNumberFormat="1" applyFont="1" applyBorder="1" applyAlignment="1">
      <alignment horizontal="right" vertical="center" wrapText="1"/>
    </xf>
    <xf numFmtId="168" fontId="8" fillId="0" borderId="30" xfId="0" applyNumberFormat="1" applyFont="1" applyBorder="1" applyAlignment="1">
      <alignment horizontal="left" vertical="center" wrapText="1"/>
    </xf>
    <xf numFmtId="168" fontId="8" fillId="0" borderId="31" xfId="0" applyNumberFormat="1" applyFont="1" applyBorder="1" applyAlignment="1">
      <alignment horizontal="left" vertical="center" wrapText="1"/>
    </xf>
    <xf numFmtId="168" fontId="3" fillId="0" borderId="29" xfId="2" applyNumberFormat="1" applyFont="1" applyBorder="1" applyAlignment="1">
      <alignment horizontal="right" vertical="center"/>
    </xf>
    <xf numFmtId="168" fontId="3" fillId="9" borderId="42" xfId="2" applyNumberFormat="1" applyFont="1" applyFill="1" applyBorder="1" applyAlignment="1">
      <alignment horizontal="right" vertical="center"/>
    </xf>
    <xf numFmtId="168" fontId="3" fillId="0" borderId="30" xfId="2" applyNumberFormat="1" applyFont="1" applyBorder="1" applyAlignment="1">
      <alignment horizontal="right" vertical="center"/>
    </xf>
    <xf numFmtId="168" fontId="3" fillId="0" borderId="30" xfId="0" applyNumberFormat="1" applyFont="1" applyBorder="1" applyAlignment="1">
      <alignment horizontal="left" vertical="center"/>
    </xf>
    <xf numFmtId="168" fontId="3" fillId="0" borderId="31" xfId="0" applyNumberFormat="1" applyFont="1" applyBorder="1" applyAlignment="1">
      <alignment horizontal="left" vertical="center"/>
    </xf>
    <xf numFmtId="168" fontId="3" fillId="9" borderId="35" xfId="2" applyNumberFormat="1" applyFont="1" applyFill="1" applyBorder="1" applyAlignment="1">
      <alignment horizontal="right" vertical="center"/>
    </xf>
    <xf numFmtId="168" fontId="3" fillId="0" borderId="42" xfId="0" applyNumberFormat="1" applyFont="1" applyBorder="1" applyAlignment="1">
      <alignment horizontal="right" vertical="center"/>
    </xf>
    <xf numFmtId="168" fontId="3" fillId="0" borderId="30" xfId="0" applyNumberFormat="1" applyFont="1" applyBorder="1" applyAlignment="1">
      <alignment horizontal="right" vertical="center"/>
    </xf>
    <xf numFmtId="168" fontId="7" fillId="0" borderId="24" xfId="0" applyNumberFormat="1" applyFont="1" applyBorder="1" applyAlignment="1">
      <alignment horizontal="right" vertical="center" shrinkToFit="1"/>
    </xf>
    <xf numFmtId="168" fontId="7" fillId="9" borderId="23" xfId="0" applyNumberFormat="1" applyFont="1" applyFill="1" applyBorder="1" applyAlignment="1">
      <alignment horizontal="right" vertical="center" shrinkToFit="1"/>
    </xf>
    <xf numFmtId="168" fontId="7" fillId="0" borderId="41" xfId="0" applyNumberFormat="1" applyFont="1" applyBorder="1" applyAlignment="1">
      <alignment horizontal="right" vertical="center" shrinkToFit="1"/>
    </xf>
    <xf numFmtId="168" fontId="8" fillId="0" borderId="26" xfId="0" applyNumberFormat="1" applyFont="1" applyBorder="1" applyAlignment="1">
      <alignment horizontal="right" vertical="center"/>
    </xf>
    <xf numFmtId="168" fontId="10" fillId="0" borderId="26" xfId="0" applyNumberFormat="1" applyFont="1" applyBorder="1" applyAlignment="1">
      <alignment horizontal="right" vertical="center"/>
    </xf>
    <xf numFmtId="168" fontId="3" fillId="0" borderId="31" xfId="0" applyNumberFormat="1" applyFont="1" applyBorder="1" applyAlignment="1">
      <alignment horizontal="right" vertical="center"/>
    </xf>
    <xf numFmtId="168" fontId="9" fillId="0" borderId="42" xfId="2" applyNumberFormat="1" applyFont="1" applyBorder="1" applyAlignment="1">
      <alignment horizontal="right" vertical="center"/>
    </xf>
    <xf numFmtId="168" fontId="3" fillId="0" borderId="42" xfId="2" applyNumberFormat="1" applyFont="1" applyBorder="1" applyAlignment="1">
      <alignment horizontal="right" vertical="center"/>
    </xf>
    <xf numFmtId="168" fontId="3" fillId="9" borderId="41" xfId="0" applyNumberFormat="1" applyFont="1" applyFill="1" applyBorder="1" applyAlignment="1">
      <alignment horizontal="right" vertical="center"/>
    </xf>
    <xf numFmtId="168" fontId="7" fillId="4" borderId="23" xfId="0" applyNumberFormat="1" applyFont="1" applyFill="1" applyBorder="1" applyAlignment="1">
      <alignment horizontal="right" vertical="center" shrinkToFit="1"/>
    </xf>
    <xf numFmtId="168" fontId="5" fillId="4" borderId="35" xfId="2" applyNumberFormat="1" applyFont="1" applyFill="1" applyBorder="1" applyAlignment="1">
      <alignment horizontal="right" vertical="center"/>
    </xf>
    <xf numFmtId="168" fontId="7" fillId="0" borderId="26" xfId="0" applyNumberFormat="1" applyFont="1" applyBorder="1" applyAlignment="1">
      <alignment horizontal="right" vertical="center" shrinkToFit="1"/>
    </xf>
    <xf numFmtId="168" fontId="7" fillId="4" borderId="41" xfId="0" applyNumberFormat="1" applyFont="1" applyFill="1" applyBorder="1" applyAlignment="1">
      <alignment horizontal="right" vertical="center" shrinkToFit="1"/>
    </xf>
    <xf numFmtId="168" fontId="5" fillId="4" borderId="42" xfId="2" applyNumberFormat="1" applyFont="1" applyFill="1" applyBorder="1" applyAlignment="1">
      <alignment horizontal="right" vertical="center"/>
    </xf>
    <xf numFmtId="168" fontId="7" fillId="0" borderId="25" xfId="0" applyNumberFormat="1" applyFont="1" applyBorder="1" applyAlignment="1">
      <alignment horizontal="right" vertical="center" shrinkToFit="1"/>
    </xf>
    <xf numFmtId="168" fontId="7" fillId="4" borderId="23" xfId="0" applyNumberFormat="1" applyFont="1" applyFill="1" applyBorder="1" applyAlignment="1">
      <alignment vertical="center" shrinkToFit="1"/>
    </xf>
    <xf numFmtId="168" fontId="7" fillId="4" borderId="41" xfId="0" applyNumberFormat="1" applyFont="1" applyFill="1" applyBorder="1" applyAlignment="1">
      <alignment vertical="center" shrinkToFit="1"/>
    </xf>
    <xf numFmtId="168" fontId="5" fillId="0" borderId="29" xfId="0" applyNumberFormat="1" applyFont="1" applyBorder="1" applyAlignment="1">
      <alignment horizontal="left" vertical="center"/>
    </xf>
    <xf numFmtId="168" fontId="5" fillId="4" borderId="23" xfId="0" applyNumberFormat="1" applyFont="1" applyFill="1" applyBorder="1" applyAlignment="1">
      <alignment horizontal="right" vertical="center"/>
    </xf>
    <xf numFmtId="168" fontId="5" fillId="4" borderId="35" xfId="0" applyNumberFormat="1" applyFont="1" applyFill="1" applyBorder="1" applyAlignment="1">
      <alignment horizontal="left" vertical="center"/>
    </xf>
    <xf numFmtId="168" fontId="7" fillId="9" borderId="41" xfId="0" applyNumberFormat="1" applyFont="1" applyFill="1" applyBorder="1" applyAlignment="1">
      <alignment horizontal="right" vertical="center" shrinkToFit="1"/>
    </xf>
    <xf numFmtId="168" fontId="7" fillId="0" borderId="41" xfId="0" applyNumberFormat="1" applyFont="1" applyBorder="1" applyAlignment="1">
      <alignment vertical="center" shrinkToFit="1"/>
    </xf>
    <xf numFmtId="168" fontId="5" fillId="0" borderId="23" xfId="0" applyNumberFormat="1" applyFont="1" applyBorder="1" applyAlignment="1">
      <alignment vertical="center"/>
    </xf>
    <xf numFmtId="168" fontId="5" fillId="0" borderId="35" xfId="0" applyNumberFormat="1" applyFont="1" applyBorder="1" applyAlignment="1">
      <alignment horizontal="left" vertical="center"/>
    </xf>
    <xf numFmtId="168" fontId="3" fillId="0" borderId="18" xfId="0" applyNumberFormat="1" applyFont="1" applyBorder="1" applyAlignment="1">
      <alignment horizontal="right" vertical="center"/>
    </xf>
    <xf numFmtId="168" fontId="3" fillId="0" borderId="5" xfId="2" applyNumberFormat="1" applyFont="1" applyBorder="1" applyAlignment="1">
      <alignment horizontal="right" vertical="center"/>
    </xf>
    <xf numFmtId="168" fontId="3" fillId="4" borderId="18" xfId="0" applyNumberFormat="1" applyFont="1" applyFill="1" applyBorder="1" applyAlignment="1">
      <alignment horizontal="right" vertical="center"/>
    </xf>
    <xf numFmtId="168" fontId="3" fillId="4" borderId="5" xfId="2" applyNumberFormat="1" applyFont="1" applyFill="1" applyBorder="1" applyAlignment="1">
      <alignment horizontal="right" vertical="center"/>
    </xf>
    <xf numFmtId="168" fontId="3" fillId="0" borderId="38" xfId="0" applyNumberFormat="1" applyFont="1" applyBorder="1" applyAlignment="1">
      <alignment horizontal="right" vertical="center"/>
    </xf>
    <xf numFmtId="168" fontId="3" fillId="0" borderId="39" xfId="2" applyNumberFormat="1" applyFont="1" applyBorder="1" applyAlignment="1">
      <alignment horizontal="right" vertical="center"/>
    </xf>
    <xf numFmtId="168" fontId="3" fillId="0" borderId="27" xfId="0" applyNumberFormat="1" applyFont="1" applyBorder="1" applyAlignment="1">
      <alignment horizontal="right" vertical="center"/>
    </xf>
    <xf numFmtId="168" fontId="3" fillId="0" borderId="28" xfId="0" applyNumberFormat="1" applyFont="1" applyBorder="1" applyAlignment="1">
      <alignment horizontal="right" vertical="center"/>
    </xf>
    <xf numFmtId="168" fontId="3" fillId="4" borderId="25" xfId="0" applyNumberFormat="1" applyFont="1" applyFill="1" applyBorder="1" applyAlignment="1">
      <alignment horizontal="right" vertical="center"/>
    </xf>
    <xf numFmtId="168" fontId="3" fillId="0" borderId="24" xfId="2" applyNumberFormat="1" applyFont="1" applyBorder="1" applyAlignment="1">
      <alignment horizontal="right" vertical="center"/>
    </xf>
    <xf numFmtId="168" fontId="3" fillId="4" borderId="23" xfId="2" applyNumberFormat="1" applyFont="1" applyFill="1" applyBorder="1" applyAlignment="1">
      <alignment horizontal="right" vertical="center"/>
    </xf>
    <xf numFmtId="168" fontId="3" fillId="0" borderId="26" xfId="2" applyNumberFormat="1" applyFont="1" applyBorder="1" applyAlignment="1">
      <alignment horizontal="right" vertical="center"/>
    </xf>
    <xf numFmtId="168" fontId="3" fillId="0" borderId="41" xfId="2" applyNumberFormat="1" applyFont="1" applyBorder="1" applyAlignment="1">
      <alignment horizontal="right" vertical="center"/>
    </xf>
    <xf numFmtId="168" fontId="3" fillId="0" borderId="25" xfId="2" applyNumberFormat="1" applyFont="1" applyBorder="1" applyAlignment="1">
      <alignment horizontal="right" vertical="center"/>
    </xf>
    <xf numFmtId="168" fontId="8" fillId="0" borderId="41" xfId="0" applyNumberFormat="1" applyFont="1" applyBorder="1" applyAlignment="1">
      <alignment horizontal="right" vertical="center"/>
    </xf>
    <xf numFmtId="168" fontId="8" fillId="0" borderId="26" xfId="0" applyNumberFormat="1" applyFont="1" applyBorder="1" applyAlignment="1">
      <alignment vertical="center"/>
    </xf>
    <xf numFmtId="37" fontId="8" fillId="9" borderId="2" xfId="0" applyNumberFormat="1" applyFont="1" applyFill="1" applyBorder="1" applyAlignment="1">
      <alignment horizontal="right" vertical="center" shrinkToFit="1"/>
    </xf>
    <xf numFmtId="37" fontId="8" fillId="0" borderId="0" xfId="0" applyNumberFormat="1" applyFont="1" applyAlignment="1">
      <alignment horizontal="right" vertical="center" shrinkToFit="1"/>
    </xf>
    <xf numFmtId="37" fontId="8" fillId="0" borderId="57" xfId="0" applyNumberFormat="1" applyFont="1" applyBorder="1" applyAlignment="1">
      <alignment horizontal="right" vertical="center" shrinkToFit="1"/>
    </xf>
    <xf numFmtId="37" fontId="8" fillId="9" borderId="57" xfId="0" applyNumberFormat="1" applyFont="1" applyFill="1" applyBorder="1" applyAlignment="1">
      <alignment horizontal="right" vertical="center" shrinkToFit="1"/>
    </xf>
    <xf numFmtId="37" fontId="8" fillId="0" borderId="0" xfId="0" applyNumberFormat="1" applyFont="1" applyAlignment="1">
      <alignment horizontal="right" vertical="center" wrapText="1"/>
    </xf>
    <xf numFmtId="37" fontId="8" fillId="0" borderId="3" xfId="0" applyNumberFormat="1" applyFont="1" applyBorder="1" applyAlignment="1">
      <alignment vertical="center" shrinkToFit="1"/>
    </xf>
    <xf numFmtId="37" fontId="8" fillId="9" borderId="2" xfId="0" applyNumberFormat="1" applyFont="1" applyFill="1" applyBorder="1" applyAlignment="1">
      <alignment vertical="center" shrinkToFit="1"/>
    </xf>
    <xf numFmtId="37" fontId="8" fillId="0" borderId="0" xfId="0" applyNumberFormat="1" applyFont="1" applyAlignment="1">
      <alignment vertical="center" shrinkToFit="1"/>
    </xf>
    <xf numFmtId="37" fontId="8" fillId="9" borderId="57" xfId="0" applyNumberFormat="1" applyFont="1" applyFill="1" applyBorder="1" applyAlignment="1">
      <alignment vertical="center" shrinkToFit="1"/>
    </xf>
    <xf numFmtId="37" fontId="7" fillId="0" borderId="3" xfId="0" applyNumberFormat="1" applyFont="1" applyBorder="1" applyAlignment="1">
      <alignment horizontal="right" vertical="center" shrinkToFit="1"/>
    </xf>
    <xf numFmtId="37" fontId="7" fillId="9" borderId="2" xfId="0" applyNumberFormat="1" applyFont="1" applyFill="1" applyBorder="1" applyAlignment="1">
      <alignment horizontal="right" vertical="center" shrinkToFit="1"/>
    </xf>
    <xf numFmtId="37" fontId="7" fillId="0" borderId="0" xfId="0" applyNumberFormat="1" applyFont="1" applyAlignment="1">
      <alignment horizontal="right" vertical="center" shrinkToFit="1"/>
    </xf>
    <xf numFmtId="37" fontId="7" fillId="9" borderId="57" xfId="0" applyNumberFormat="1" applyFont="1" applyFill="1" applyBorder="1" applyAlignment="1">
      <alignment horizontal="right" vertical="center" shrinkToFit="1"/>
    </xf>
    <xf numFmtId="37" fontId="7" fillId="0" borderId="57" xfId="0" applyNumberFormat="1" applyFont="1" applyBorder="1" applyAlignment="1">
      <alignment horizontal="right" vertical="center" shrinkToFit="1"/>
    </xf>
    <xf numFmtId="37" fontId="3" fillId="0" borderId="3" xfId="0" applyNumberFormat="1" applyFont="1" applyBorder="1" applyAlignment="1">
      <alignment vertical="center"/>
    </xf>
    <xf numFmtId="37" fontId="3" fillId="9" borderId="2" xfId="0" applyNumberFormat="1" applyFont="1" applyFill="1" applyBorder="1" applyAlignment="1">
      <alignment vertical="center"/>
    </xf>
    <xf numFmtId="37" fontId="21" fillId="9" borderId="2" xfId="0" applyNumberFormat="1" applyFont="1" applyFill="1" applyBorder="1" applyAlignment="1">
      <alignment vertical="center"/>
    </xf>
    <xf numFmtId="37" fontId="21" fillId="9" borderId="57" xfId="0" applyNumberFormat="1" applyFont="1" applyFill="1" applyBorder="1" applyAlignment="1">
      <alignment vertical="center"/>
    </xf>
    <xf numFmtId="37" fontId="21" fillId="0" borderId="3" xfId="0" applyNumberFormat="1" applyFont="1" applyBorder="1" applyAlignment="1">
      <alignment vertical="center"/>
    </xf>
    <xf numFmtId="37" fontId="3" fillId="0" borderId="57" xfId="0" applyNumberFormat="1" applyFont="1" applyBorder="1" applyAlignment="1">
      <alignment vertical="center"/>
    </xf>
    <xf numFmtId="37" fontId="15" fillId="0" borderId="3" xfId="0" applyNumberFormat="1" applyFont="1" applyBorder="1" applyAlignment="1">
      <alignment horizontal="right" vertical="center"/>
    </xf>
    <xf numFmtId="37" fontId="15" fillId="9" borderId="2" xfId="0" applyNumberFormat="1" applyFont="1" applyFill="1" applyBorder="1" applyAlignment="1">
      <alignment horizontal="right" vertical="center"/>
    </xf>
    <xf numFmtId="37" fontId="15" fillId="0" borderId="0" xfId="0" applyNumberFormat="1" applyFont="1" applyAlignment="1">
      <alignment horizontal="right" vertical="center"/>
    </xf>
    <xf numFmtId="37" fontId="15" fillId="9" borderId="57" xfId="0" applyNumberFormat="1" applyFont="1" applyFill="1" applyBorder="1" applyAlignment="1">
      <alignment horizontal="right" vertical="center"/>
    </xf>
    <xf numFmtId="37" fontId="15" fillId="0" borderId="57" xfId="0" applyNumberFormat="1" applyFont="1" applyBorder="1" applyAlignment="1">
      <alignment horizontal="right" vertical="center"/>
    </xf>
    <xf numFmtId="37" fontId="23" fillId="9" borderId="2" xfId="0" applyNumberFormat="1" applyFont="1" applyFill="1" applyBorder="1" applyAlignment="1">
      <alignment horizontal="right" vertical="center"/>
    </xf>
    <xf numFmtId="37" fontId="5" fillId="9" borderId="2" xfId="0" applyNumberFormat="1" applyFont="1" applyFill="1" applyBorder="1" applyAlignment="1">
      <alignment horizontal="right" vertical="center"/>
    </xf>
    <xf numFmtId="37" fontId="5" fillId="0" borderId="57" xfId="0" applyNumberFormat="1" applyFont="1" applyBorder="1" applyAlignment="1">
      <alignment horizontal="right" vertical="center"/>
    </xf>
    <xf numFmtId="37" fontId="23" fillId="0" borderId="3" xfId="0" applyNumberFormat="1" applyFont="1" applyBorder="1" applyAlignment="1">
      <alignment horizontal="right" vertical="center"/>
    </xf>
    <xf numFmtId="37" fontId="5" fillId="9" borderId="57" xfId="0" applyNumberFormat="1" applyFont="1" applyFill="1" applyBorder="1" applyAlignment="1">
      <alignment horizontal="right" vertical="center"/>
    </xf>
    <xf numFmtId="37" fontId="23" fillId="0" borderId="0" xfId="0" applyNumberFormat="1" applyFont="1" applyAlignment="1">
      <alignment horizontal="right" vertical="center"/>
    </xf>
    <xf numFmtId="37" fontId="9" fillId="9" borderId="2" xfId="0" applyNumberFormat="1" applyFont="1" applyFill="1" applyBorder="1" applyAlignment="1">
      <alignment vertical="center"/>
    </xf>
    <xf numFmtId="37" fontId="9" fillId="0" borderId="57" xfId="0" applyNumberFormat="1" applyFont="1" applyBorder="1" applyAlignment="1">
      <alignment vertical="center"/>
    </xf>
    <xf numFmtId="37" fontId="9" fillId="9" borderId="57" xfId="0" applyNumberFormat="1" applyFont="1" applyFill="1" applyBorder="1" applyAlignment="1">
      <alignment vertical="center"/>
    </xf>
    <xf numFmtId="37" fontId="29" fillId="9" borderId="2" xfId="0" applyNumberFormat="1" applyFont="1" applyFill="1" applyBorder="1" applyAlignment="1">
      <alignment vertical="center"/>
    </xf>
    <xf numFmtId="37" fontId="9" fillId="0" borderId="3" xfId="0" applyNumberFormat="1" applyFont="1" applyBorder="1" applyAlignment="1">
      <alignment horizontal="right" vertical="center"/>
    </xf>
    <xf numFmtId="37" fontId="9" fillId="9" borderId="2" xfId="0" applyNumberFormat="1" applyFont="1" applyFill="1" applyBorder="1" applyAlignment="1">
      <alignment horizontal="right" vertical="center"/>
    </xf>
    <xf numFmtId="37" fontId="9" fillId="0" borderId="0" xfId="0" applyNumberFormat="1" applyFont="1" applyAlignment="1">
      <alignment horizontal="right" vertical="center"/>
    </xf>
    <xf numFmtId="37" fontId="9" fillId="9" borderId="57" xfId="0" applyNumberFormat="1" applyFont="1" applyFill="1" applyBorder="1" applyAlignment="1">
      <alignment horizontal="right" vertical="center"/>
    </xf>
    <xf numFmtId="37" fontId="9" fillId="0" borderId="36" xfId="0" applyNumberFormat="1" applyFont="1" applyBorder="1" applyAlignment="1">
      <alignment vertical="center"/>
    </xf>
    <xf numFmtId="168" fontId="9" fillId="0" borderId="36" xfId="0" applyNumberFormat="1" applyFont="1" applyBorder="1" applyAlignment="1">
      <alignment vertical="center"/>
    </xf>
    <xf numFmtId="168" fontId="9" fillId="0" borderId="36" xfId="2" applyNumberFormat="1" applyFont="1" applyBorder="1" applyAlignment="1">
      <alignment vertical="center"/>
    </xf>
    <xf numFmtId="37" fontId="7" fillId="0" borderId="3" xfId="0" applyNumberFormat="1" applyFont="1" applyBorder="1" applyAlignment="1">
      <alignment vertical="center" shrinkToFit="1"/>
    </xf>
    <xf numFmtId="37" fontId="7" fillId="9" borderId="2" xfId="0" applyNumberFormat="1" applyFont="1" applyFill="1" applyBorder="1" applyAlignment="1">
      <alignment vertical="center" shrinkToFit="1"/>
    </xf>
    <xf numFmtId="37" fontId="7" fillId="0" borderId="0" xfId="0" applyNumberFormat="1" applyFont="1" applyAlignment="1">
      <alignment vertical="center" shrinkToFit="1"/>
    </xf>
    <xf numFmtId="37" fontId="7" fillId="0" borderId="57" xfId="0" applyNumberFormat="1" applyFont="1" applyBorder="1" applyAlignment="1">
      <alignment vertical="center" shrinkToFit="1"/>
    </xf>
    <xf numFmtId="37" fontId="7" fillId="9" borderId="57" xfId="0" applyNumberFormat="1" applyFont="1" applyFill="1" applyBorder="1" applyAlignment="1">
      <alignment vertical="center" shrinkToFit="1"/>
    </xf>
    <xf numFmtId="37" fontId="3" fillId="0" borderId="2" xfId="0" applyNumberFormat="1" applyFont="1" applyBorder="1" applyAlignment="1">
      <alignment horizontal="right" vertical="center"/>
    </xf>
    <xf numFmtId="37" fontId="8" fillId="0" borderId="57" xfId="0" applyNumberFormat="1" applyFont="1" applyBorder="1" applyAlignment="1">
      <alignment horizontal="right" vertical="center"/>
    </xf>
    <xf numFmtId="37" fontId="3" fillId="9" borderId="2" xfId="0" applyNumberFormat="1" applyFont="1" applyFill="1" applyBorder="1" applyAlignment="1">
      <alignment horizontal="right" vertical="center"/>
    </xf>
    <xf numFmtId="37" fontId="3" fillId="0" borderId="57" xfId="0" applyNumberFormat="1" applyFont="1" applyBorder="1" applyAlignment="1">
      <alignment horizontal="right" vertical="center"/>
    </xf>
    <xf numFmtId="37" fontId="3" fillId="9" borderId="57" xfId="0" applyNumberFormat="1" applyFont="1" applyFill="1" applyBorder="1" applyAlignment="1">
      <alignment horizontal="right" vertical="center"/>
    </xf>
    <xf numFmtId="37" fontId="7" fillId="4" borderId="2" xfId="0" applyNumberFormat="1" applyFont="1" applyFill="1" applyBorder="1" applyAlignment="1">
      <alignment horizontal="right" vertical="center" shrinkToFit="1"/>
    </xf>
    <xf numFmtId="37" fontId="7" fillId="4" borderId="57" xfId="0" applyNumberFormat="1" applyFont="1" applyFill="1" applyBorder="1" applyAlignment="1">
      <alignment horizontal="right" vertical="center" shrinkToFit="1"/>
    </xf>
    <xf numFmtId="37" fontId="7" fillId="4" borderId="2" xfId="0" applyNumberFormat="1" applyFont="1" applyFill="1" applyBorder="1" applyAlignment="1">
      <alignment vertical="center" shrinkToFit="1"/>
    </xf>
    <xf numFmtId="37" fontId="7" fillId="4" borderId="57" xfId="0" applyNumberFormat="1" applyFont="1" applyFill="1" applyBorder="1" applyAlignment="1">
      <alignment vertical="center" shrinkToFit="1"/>
    </xf>
    <xf numFmtId="37" fontId="5" fillId="4" borderId="2" xfId="0" applyNumberFormat="1" applyFont="1" applyFill="1" applyBorder="1" applyAlignment="1">
      <alignment horizontal="right" vertical="center"/>
    </xf>
    <xf numFmtId="37" fontId="5" fillId="0" borderId="3" xfId="0" applyNumberFormat="1" applyFont="1" applyBorder="1" applyAlignment="1">
      <alignment vertical="center"/>
    </xf>
    <xf numFmtId="37" fontId="5" fillId="9" borderId="57" xfId="0" applyNumberFormat="1" applyFont="1" applyFill="1" applyBorder="1" applyAlignment="1">
      <alignment vertical="center"/>
    </xf>
    <xf numFmtId="37" fontId="3" fillId="0" borderId="46" xfId="0" applyNumberFormat="1" applyFont="1" applyBorder="1" applyAlignment="1">
      <alignment horizontal="right" vertical="center"/>
    </xf>
    <xf numFmtId="37" fontId="3" fillId="4" borderId="46" xfId="0" applyNumberFormat="1" applyFont="1" applyFill="1" applyBorder="1" applyAlignment="1">
      <alignment horizontal="right" vertical="center"/>
    </xf>
    <xf numFmtId="37" fontId="3" fillId="0" borderId="52" xfId="0" applyNumberFormat="1" applyFont="1" applyBorder="1" applyAlignment="1">
      <alignment horizontal="right" vertical="center"/>
    </xf>
    <xf numFmtId="37" fontId="3" fillId="4" borderId="1" xfId="0" applyNumberFormat="1" applyFont="1" applyFill="1" applyBorder="1" applyAlignment="1">
      <alignment horizontal="right" vertical="center"/>
    </xf>
    <xf numFmtId="37" fontId="3" fillId="4" borderId="2" xfId="0" applyNumberFormat="1" applyFont="1" applyFill="1" applyBorder="1" applyAlignment="1">
      <alignment horizontal="right" vertical="center"/>
    </xf>
    <xf numFmtId="37" fontId="0" fillId="0" borderId="46" xfId="0" applyNumberFormat="1" applyBorder="1" applyAlignment="1">
      <alignment vertical="center"/>
    </xf>
    <xf numFmtId="37" fontId="0" fillId="4" borderId="46" xfId="0" applyNumberFormat="1" applyFill="1" applyBorder="1" applyAlignment="1">
      <alignment vertical="center"/>
    </xf>
    <xf numFmtId="37" fontId="0" fillId="0" borderId="52" xfId="0" applyNumberFormat="1" applyBorder="1" applyAlignment="1">
      <alignment vertical="center"/>
    </xf>
    <xf numFmtId="37" fontId="15" fillId="6" borderId="57" xfId="0" applyNumberFormat="1" applyFont="1" applyFill="1" applyBorder="1" applyAlignment="1">
      <alignment vertical="center"/>
    </xf>
    <xf numFmtId="37" fontId="15" fillId="9" borderId="57" xfId="0" applyNumberFormat="1" applyFont="1" applyFill="1" applyBorder="1" applyAlignment="1">
      <alignment vertical="center"/>
    </xf>
    <xf numFmtId="37" fontId="8" fillId="0" borderId="5" xfId="0" applyNumberFormat="1" applyFont="1" applyBorder="1" applyAlignment="1">
      <alignment horizontal="right" vertical="center" shrinkToFit="1"/>
    </xf>
    <xf numFmtId="37" fontId="8" fillId="9" borderId="5" xfId="0" applyNumberFormat="1" applyFont="1" applyFill="1" applyBorder="1" applyAlignment="1">
      <alignment horizontal="right" vertical="center" shrinkToFit="1"/>
    </xf>
    <xf numFmtId="37" fontId="8" fillId="0" borderId="39" xfId="0" applyNumberFormat="1" applyFont="1" applyBorder="1" applyAlignment="1">
      <alignment horizontal="right" vertical="center" shrinkToFit="1"/>
    </xf>
    <xf numFmtId="37" fontId="8" fillId="9" borderId="39" xfId="0" applyNumberFormat="1" applyFont="1" applyFill="1" applyBorder="1" applyAlignment="1">
      <alignment horizontal="right" vertical="center" shrinkToFit="1"/>
    </xf>
    <xf numFmtId="37" fontId="8" fillId="0" borderId="2" xfId="0" applyNumberFormat="1" applyFont="1" applyBorder="1" applyAlignment="1">
      <alignment horizontal="right" vertical="center" shrinkToFit="1"/>
    </xf>
    <xf numFmtId="0" fontId="59" fillId="0" borderId="0" xfId="0" applyFont="1"/>
    <xf numFmtId="0" fontId="60" fillId="0" borderId="0" xfId="0" applyFont="1" applyAlignment="1">
      <alignment horizontal="left" vertical="center" wrapText="1"/>
    </xf>
    <xf numFmtId="0" fontId="61" fillId="0" borderId="0" xfId="0" applyFont="1" applyAlignment="1">
      <alignment horizontal="left" vertical="center" wrapText="1"/>
    </xf>
    <xf numFmtId="164" fontId="34" fillId="0" borderId="0" xfId="2" applyNumberFormat="1" applyFont="1" applyAlignment="1">
      <alignment vertical="center"/>
    </xf>
    <xf numFmtId="164" fontId="3" fillId="0" borderId="0" xfId="2" applyNumberFormat="1" applyFont="1"/>
    <xf numFmtId="169" fontId="9" fillId="0" borderId="0" xfId="0" applyNumberFormat="1" applyFont="1" applyAlignment="1">
      <alignment vertical="center"/>
    </xf>
    <xf numFmtId="37" fontId="34" fillId="9" borderId="2" xfId="0" applyNumberFormat="1" applyFont="1" applyFill="1" applyBorder="1" applyAlignment="1">
      <alignment vertical="center"/>
    </xf>
    <xf numFmtId="168" fontId="34" fillId="9" borderId="23" xfId="0" applyNumberFormat="1" applyFont="1" applyFill="1" applyBorder="1" applyAlignment="1">
      <alignment vertical="center"/>
    </xf>
    <xf numFmtId="37" fontId="34" fillId="0" borderId="0" xfId="0" applyNumberFormat="1" applyFont="1" applyAlignment="1">
      <alignment vertical="center"/>
    </xf>
    <xf numFmtId="168" fontId="34" fillId="0" borderId="26" xfId="0" applyNumberFormat="1" applyFont="1" applyBorder="1" applyAlignment="1">
      <alignment vertical="center"/>
    </xf>
    <xf numFmtId="37" fontId="34" fillId="9" borderId="57" xfId="0" applyNumberFormat="1" applyFont="1" applyFill="1" applyBorder="1" applyAlignment="1">
      <alignment vertical="center"/>
    </xf>
    <xf numFmtId="168" fontId="34" fillId="9" borderId="41" xfId="0" applyNumberFormat="1" applyFont="1" applyFill="1" applyBorder="1" applyAlignment="1">
      <alignment vertical="center"/>
    </xf>
    <xf numFmtId="37" fontId="34" fillId="0" borderId="26" xfId="0" applyNumberFormat="1" applyFont="1" applyBorder="1" applyAlignment="1">
      <alignment vertical="center"/>
    </xf>
    <xf numFmtId="37" fontId="34" fillId="0" borderId="25" xfId="0" applyNumberFormat="1" applyFont="1" applyBorder="1" applyAlignment="1">
      <alignment vertical="center"/>
    </xf>
    <xf numFmtId="37" fontId="3" fillId="0" borderId="1" xfId="0" applyNumberFormat="1" applyFont="1" applyBorder="1" applyAlignment="1">
      <alignment vertical="center"/>
    </xf>
    <xf numFmtId="168" fontId="3" fillId="0" borderId="42" xfId="2" applyNumberFormat="1" applyFont="1" applyFill="1" applyBorder="1" applyAlignment="1">
      <alignment vertical="center"/>
    </xf>
    <xf numFmtId="168" fontId="3" fillId="0" borderId="35" xfId="0" applyNumberFormat="1" applyFont="1" applyBorder="1" applyAlignment="1">
      <alignment vertical="center"/>
    </xf>
    <xf numFmtId="168" fontId="10" fillId="0" borderId="26" xfId="0" applyNumberFormat="1" applyFont="1" applyBorder="1" applyAlignment="1">
      <alignment horizontal="center" vertical="center" wrapText="1"/>
    </xf>
    <xf numFmtId="168" fontId="3" fillId="0" borderId="42" xfId="0" applyNumberFormat="1" applyFont="1" applyBorder="1" applyAlignment="1">
      <alignment vertical="center"/>
    </xf>
    <xf numFmtId="37" fontId="10" fillId="0" borderId="26" xfId="0" applyNumberFormat="1" applyFont="1" applyBorder="1" applyAlignment="1">
      <alignment horizontal="center" vertical="center"/>
    </xf>
    <xf numFmtId="168" fontId="10" fillId="0" borderId="26" xfId="0" applyNumberFormat="1" applyFont="1" applyBorder="1" applyAlignment="1">
      <alignment horizontal="center" vertical="center"/>
    </xf>
    <xf numFmtId="37" fontId="3" fillId="0" borderId="25" xfId="0" applyNumberFormat="1" applyFont="1" applyBorder="1" applyAlignment="1">
      <alignment vertical="center"/>
    </xf>
    <xf numFmtId="168" fontId="3" fillId="4" borderId="31" xfId="0" applyNumberFormat="1" applyFont="1" applyFill="1" applyBorder="1" applyAlignment="1">
      <alignment vertical="center"/>
    </xf>
    <xf numFmtId="168" fontId="3" fillId="4" borderId="35" xfId="2" applyNumberFormat="1" applyFont="1" applyFill="1" applyBorder="1" applyAlignment="1">
      <alignment vertical="center"/>
    </xf>
    <xf numFmtId="168" fontId="0" fillId="0" borderId="18" xfId="0" applyNumberFormat="1" applyBorder="1" applyAlignment="1">
      <alignment vertical="center"/>
    </xf>
    <xf numFmtId="168" fontId="0" fillId="4" borderId="18" xfId="0" applyNumberFormat="1" applyFill="1" applyBorder="1" applyAlignment="1">
      <alignment vertical="center"/>
    </xf>
    <xf numFmtId="168" fontId="0" fillId="0" borderId="38" xfId="0" applyNumberFormat="1" applyBorder="1" applyAlignment="1">
      <alignment vertical="center"/>
    </xf>
    <xf numFmtId="168" fontId="0" fillId="0" borderId="26" xfId="0" applyNumberFormat="1" applyBorder="1" applyAlignment="1">
      <alignment vertical="center"/>
    </xf>
    <xf numFmtId="168" fontId="0" fillId="0" borderId="1" xfId="0" applyNumberFormat="1" applyBorder="1" applyAlignment="1">
      <alignment vertical="center"/>
    </xf>
    <xf numFmtId="168" fontId="0" fillId="0" borderId="46" xfId="0" applyNumberFormat="1" applyBorder="1" applyAlignment="1">
      <alignment vertical="center"/>
    </xf>
    <xf numFmtId="168" fontId="0" fillId="4" borderId="46" xfId="0" applyNumberFormat="1" applyFill="1" applyBorder="1" applyAlignment="1">
      <alignment vertical="center"/>
    </xf>
    <xf numFmtId="37" fontId="0" fillId="0" borderId="49" xfId="0" applyNumberFormat="1" applyBorder="1" applyAlignment="1">
      <alignment vertical="center"/>
    </xf>
    <xf numFmtId="168" fontId="0" fillId="0" borderId="49" xfId="0" applyNumberFormat="1" applyBorder="1" applyAlignment="1">
      <alignment vertical="center"/>
    </xf>
    <xf numFmtId="37" fontId="0" fillId="0" borderId="50" xfId="0" applyNumberFormat="1" applyBorder="1" applyAlignment="1">
      <alignment vertical="center"/>
    </xf>
    <xf numFmtId="168" fontId="0" fillId="0" borderId="27" xfId="0" applyNumberFormat="1" applyBorder="1" applyAlignment="1">
      <alignment vertical="center"/>
    </xf>
    <xf numFmtId="37" fontId="0" fillId="0" borderId="51" xfId="0" applyNumberFormat="1" applyBorder="1" applyAlignment="1">
      <alignment vertical="center"/>
    </xf>
    <xf numFmtId="168" fontId="0" fillId="0" borderId="51" xfId="0" applyNumberFormat="1" applyBorder="1" applyAlignment="1">
      <alignment vertical="center"/>
    </xf>
    <xf numFmtId="168" fontId="0" fillId="0" borderId="17" xfId="0" applyNumberFormat="1" applyBorder="1" applyAlignment="1">
      <alignment vertical="center"/>
    </xf>
    <xf numFmtId="168" fontId="0" fillId="0" borderId="52" xfId="0" applyNumberFormat="1" applyBorder="1" applyAlignment="1">
      <alignment vertical="center"/>
    </xf>
    <xf numFmtId="168" fontId="0" fillId="0" borderId="0" xfId="0" applyNumberFormat="1" applyAlignment="1">
      <alignment vertical="center"/>
    </xf>
    <xf numFmtId="168" fontId="3" fillId="6" borderId="42" xfId="2" applyNumberFormat="1" applyFont="1" applyFill="1" applyBorder="1" applyAlignment="1">
      <alignment vertical="center"/>
    </xf>
    <xf numFmtId="37" fontId="9" fillId="0" borderId="51" xfId="0" applyNumberFormat="1" applyFont="1" applyBorder="1" applyAlignment="1">
      <alignment vertical="center"/>
    </xf>
    <xf numFmtId="37" fontId="9" fillId="0" borderId="28" xfId="0" applyNumberFormat="1" applyFont="1" applyBorder="1" applyAlignment="1">
      <alignment vertical="center"/>
    </xf>
    <xf numFmtId="0" fontId="54" fillId="0" borderId="17" xfId="0" applyFont="1" applyBorder="1" applyAlignment="1">
      <alignment horizontal="left" vertical="center" indent="1"/>
    </xf>
    <xf numFmtId="0" fontId="54" fillId="11" borderId="17" xfId="0" applyFont="1" applyFill="1" applyBorder="1" applyAlignment="1">
      <alignment horizontal="left" vertical="center" indent="1"/>
    </xf>
    <xf numFmtId="0" fontId="54" fillId="0" borderId="37" xfId="0" applyFont="1" applyBorder="1" applyAlignment="1">
      <alignment horizontal="left" vertical="center" indent="1"/>
    </xf>
    <xf numFmtId="165" fontId="5" fillId="0" borderId="0" xfId="0" applyNumberFormat="1" applyFont="1" applyAlignment="1">
      <alignment horizontal="left" vertical="center" indent="1"/>
    </xf>
    <xf numFmtId="10" fontId="5" fillId="0" borderId="0" xfId="0" applyNumberFormat="1" applyFont="1" applyAlignment="1">
      <alignment horizontal="left" vertical="center" indent="1"/>
    </xf>
    <xf numFmtId="0" fontId="37" fillId="3" borderId="32" xfId="0" applyFont="1" applyFill="1" applyBorder="1" applyAlignment="1">
      <alignment horizontal="left" vertical="center" indent="1"/>
    </xf>
    <xf numFmtId="0" fontId="3" fillId="0" borderId="43" xfId="0" applyFont="1" applyBorder="1" applyAlignment="1">
      <alignment horizontal="left" vertical="center" indent="2"/>
    </xf>
    <xf numFmtId="0" fontId="3" fillId="0" borderId="44" xfId="0" applyFont="1" applyBorder="1" applyAlignment="1">
      <alignment horizontal="left" vertical="center" indent="2"/>
    </xf>
    <xf numFmtId="0" fontId="5" fillId="0" borderId="0" xfId="0" applyFont="1" applyAlignment="1">
      <alignment horizontal="left" vertical="center" indent="1"/>
    </xf>
    <xf numFmtId="0" fontId="11" fillId="0" borderId="0" xfId="0" applyFont="1" applyAlignment="1">
      <alignment horizontal="left" vertical="center" indent="1"/>
    </xf>
    <xf numFmtId="0" fontId="37" fillId="7" borderId="32" xfId="0" applyFont="1" applyFill="1" applyBorder="1" applyAlignment="1">
      <alignment horizontal="left" vertical="center" indent="1"/>
    </xf>
    <xf numFmtId="0" fontId="54" fillId="12" borderId="37" xfId="0" applyFont="1" applyFill="1" applyBorder="1" applyAlignment="1">
      <alignment horizontal="left" vertical="center" indent="1"/>
    </xf>
    <xf numFmtId="0" fontId="3" fillId="0" borderId="33" xfId="0" applyFont="1" applyBorder="1" applyAlignment="1">
      <alignment horizontal="left" vertical="center" indent="2"/>
    </xf>
    <xf numFmtId="0" fontId="3" fillId="0" borderId="34" xfId="0" applyFont="1" applyBorder="1" applyAlignment="1">
      <alignment horizontal="left" vertical="center" indent="2"/>
    </xf>
    <xf numFmtId="0" fontId="36" fillId="7" borderId="32" xfId="0" applyFont="1" applyFill="1" applyBorder="1" applyAlignment="1">
      <alignment horizontal="left" vertical="center" indent="1"/>
    </xf>
    <xf numFmtId="0" fontId="54" fillId="10" borderId="37" xfId="0" applyFont="1" applyFill="1" applyBorder="1" applyAlignment="1">
      <alignment horizontal="left" vertical="center" indent="1"/>
    </xf>
    <xf numFmtId="49" fontId="3" fillId="0" borderId="0" xfId="0" applyNumberFormat="1" applyFont="1" applyAlignment="1">
      <alignment horizontal="left" vertical="center" indent="1"/>
    </xf>
    <xf numFmtId="0" fontId="36" fillId="3" borderId="58" xfId="0" applyFont="1" applyFill="1" applyBorder="1" applyAlignment="1">
      <alignment horizontal="left" vertical="center" indent="1"/>
    </xf>
    <xf numFmtId="0" fontId="36" fillId="3" borderId="32" xfId="0" applyFont="1" applyFill="1" applyBorder="1" applyAlignment="1">
      <alignment horizontal="left" vertical="center" indent="1"/>
    </xf>
    <xf numFmtId="0" fontId="2" fillId="0" borderId="0" xfId="0" applyFont="1" applyAlignment="1">
      <alignment horizontal="left" vertical="center" indent="1"/>
    </xf>
    <xf numFmtId="0" fontId="36" fillId="7" borderId="58" xfId="0" applyFont="1" applyFill="1" applyBorder="1" applyAlignment="1">
      <alignment horizontal="left" vertical="center" indent="1"/>
    </xf>
    <xf numFmtId="0" fontId="54" fillId="10" borderId="17" xfId="0" applyFont="1" applyFill="1" applyBorder="1" applyAlignment="1">
      <alignment horizontal="left" vertical="center" indent="1"/>
    </xf>
    <xf numFmtId="0" fontId="3" fillId="0" borderId="0" xfId="0" applyFont="1" applyAlignment="1">
      <alignment horizontal="left" vertical="center" indent="1"/>
    </xf>
    <xf numFmtId="0" fontId="54" fillId="0" borderId="17" xfId="0" applyFont="1" applyBorder="1" applyAlignment="1">
      <alignment horizontal="left" vertical="center" wrapText="1" indent="1"/>
    </xf>
    <xf numFmtId="0" fontId="54" fillId="11" borderId="17" xfId="0" applyFont="1" applyFill="1" applyBorder="1" applyAlignment="1">
      <alignment horizontal="left" vertical="center" wrapText="1" indent="1"/>
    </xf>
    <xf numFmtId="0" fontId="54" fillId="0" borderId="37" xfId="0" applyFont="1" applyBorder="1" applyAlignment="1">
      <alignment horizontal="left" vertical="center" wrapText="1" indent="1"/>
    </xf>
    <xf numFmtId="0" fontId="37" fillId="3" borderId="4" xfId="0" applyFont="1" applyFill="1" applyBorder="1" applyAlignment="1">
      <alignment horizontal="left" vertical="center" indent="1"/>
    </xf>
    <xf numFmtId="0" fontId="11" fillId="0" borderId="4" xfId="0" applyFont="1" applyBorder="1" applyAlignment="1">
      <alignment horizontal="left" vertical="center" indent="1"/>
    </xf>
    <xf numFmtId="0" fontId="54" fillId="4" borderId="17" xfId="0" applyFont="1" applyFill="1" applyBorder="1" applyAlignment="1">
      <alignment horizontal="left" vertical="center" wrapText="1" indent="1"/>
    </xf>
    <xf numFmtId="0" fontId="54" fillId="11" borderId="37" xfId="0" applyFont="1" applyFill="1" applyBorder="1" applyAlignment="1">
      <alignment horizontal="left" vertical="center" wrapText="1" indent="1"/>
    </xf>
    <xf numFmtId="0" fontId="54" fillId="10" borderId="17" xfId="0" applyFont="1" applyFill="1" applyBorder="1" applyAlignment="1">
      <alignment horizontal="left" vertical="center" wrapText="1" indent="1"/>
    </xf>
    <xf numFmtId="0" fontId="54" fillId="10" borderId="37" xfId="0" applyFont="1" applyFill="1" applyBorder="1" applyAlignment="1">
      <alignment horizontal="left" vertical="center" wrapText="1" indent="1"/>
    </xf>
    <xf numFmtId="0" fontId="37" fillId="7" borderId="4" xfId="0" applyFont="1" applyFill="1" applyBorder="1" applyAlignment="1">
      <alignment horizontal="left" vertical="center" indent="1"/>
    </xf>
    <xf numFmtId="0" fontId="8" fillId="0" borderId="40" xfId="0" applyFont="1" applyBorder="1" applyAlignment="1">
      <alignment horizontal="left" vertical="top" wrapText="1" indent="1"/>
    </xf>
    <xf numFmtId="10" fontId="3" fillId="0" borderId="0" xfId="0" applyNumberFormat="1" applyFont="1" applyAlignment="1">
      <alignment horizontal="left" vertical="center" indent="1"/>
    </xf>
    <xf numFmtId="0" fontId="36" fillId="7" borderId="4" xfId="0" applyFont="1" applyFill="1" applyBorder="1" applyAlignment="1">
      <alignment horizontal="left" vertical="center" indent="1"/>
    </xf>
    <xf numFmtId="0" fontId="54" fillId="0" borderId="37" xfId="0" applyFont="1" applyBorder="1" applyAlignment="1">
      <alignment horizontal="left" indent="1"/>
    </xf>
    <xf numFmtId="0" fontId="54" fillId="0" borderId="17" xfId="0" applyFont="1" applyBorder="1" applyAlignment="1">
      <alignment horizontal="left" indent="1"/>
    </xf>
    <xf numFmtId="0" fontId="54" fillId="9" borderId="17" xfId="0" applyFont="1" applyFill="1" applyBorder="1" applyAlignment="1">
      <alignment horizontal="left" vertical="center" wrapText="1" indent="1"/>
    </xf>
    <xf numFmtId="0" fontId="54" fillId="9" borderId="37" xfId="0" applyFont="1" applyFill="1" applyBorder="1" applyAlignment="1">
      <alignment horizontal="left" vertical="center" wrapText="1" indent="1"/>
    </xf>
    <xf numFmtId="0" fontId="3" fillId="0" borderId="0" xfId="0" applyFont="1" applyAlignment="1">
      <alignment horizontal="left" indent="1"/>
    </xf>
    <xf numFmtId="49" fontId="5" fillId="0" borderId="0" xfId="0" applyNumberFormat="1" applyFont="1" applyAlignment="1">
      <alignment horizontal="left" vertical="center" indent="1"/>
    </xf>
    <xf numFmtId="0" fontId="37" fillId="7" borderId="61" xfId="0" applyFont="1" applyFill="1" applyBorder="1" applyAlignment="1">
      <alignment horizontal="left" vertical="center" indent="1"/>
    </xf>
    <xf numFmtId="0" fontId="5" fillId="0" borderId="3" xfId="0" applyFont="1" applyBorder="1" applyAlignment="1">
      <alignment horizontal="left" vertical="center" indent="1"/>
    </xf>
    <xf numFmtId="0" fontId="5" fillId="0" borderId="1" xfId="0" applyFont="1" applyBorder="1" applyAlignment="1">
      <alignment horizontal="left" vertical="center" indent="1"/>
    </xf>
    <xf numFmtId="49" fontId="22" fillId="0" borderId="0" xfId="0" applyNumberFormat="1" applyFont="1" applyAlignment="1">
      <alignment horizontal="left" vertical="center" wrapText="1" indent="1"/>
    </xf>
    <xf numFmtId="0" fontId="54" fillId="0" borderId="26" xfId="0" applyFont="1" applyBorder="1" applyAlignment="1">
      <alignment horizontal="left" vertical="center" wrapText="1" indent="1"/>
    </xf>
    <xf numFmtId="0" fontId="54" fillId="10" borderId="18" xfId="0" applyFont="1" applyFill="1" applyBorder="1" applyAlignment="1">
      <alignment horizontal="left" vertical="center" wrapText="1" indent="1"/>
    </xf>
    <xf numFmtId="0" fontId="54" fillId="0" borderId="56" xfId="0" applyFont="1" applyBorder="1" applyAlignment="1">
      <alignment horizontal="left" vertical="center" wrapText="1" indent="1"/>
    </xf>
    <xf numFmtId="0" fontId="36" fillId="7" borderId="19" xfId="0" applyFont="1" applyFill="1" applyBorder="1" applyAlignment="1">
      <alignment horizontal="left" vertical="center" indent="1"/>
    </xf>
    <xf numFmtId="0" fontId="5" fillId="0" borderId="33" xfId="0" applyFont="1" applyBorder="1" applyAlignment="1">
      <alignment horizontal="left" vertical="center" indent="2"/>
    </xf>
    <xf numFmtId="0" fontId="5" fillId="0" borderId="34" xfId="0" applyFont="1" applyBorder="1" applyAlignment="1">
      <alignment horizontal="left" vertical="center" indent="2"/>
    </xf>
    <xf numFmtId="0" fontId="6" fillId="0" borderId="0" xfId="0" applyFont="1" applyAlignment="1">
      <alignment horizontal="left" vertical="center" indent="1"/>
    </xf>
    <xf numFmtId="0" fontId="4" fillId="0" borderId="0" xfId="0" applyFont="1" applyAlignment="1">
      <alignment horizontal="left" vertical="center" indent="1"/>
    </xf>
    <xf numFmtId="0" fontId="21" fillId="0" borderId="17" xfId="0" applyFont="1" applyBorder="1" applyAlignment="1">
      <alignment horizontal="left" vertical="center" indent="1"/>
    </xf>
    <xf numFmtId="0" fontId="21" fillId="10" borderId="17" xfId="0" applyFont="1" applyFill="1" applyBorder="1" applyAlignment="1">
      <alignment horizontal="left" vertical="center" indent="1"/>
    </xf>
    <xf numFmtId="0" fontId="21" fillId="10" borderId="37" xfId="0" applyFont="1" applyFill="1" applyBorder="1" applyAlignment="1">
      <alignment horizontal="left" vertical="center" indent="1"/>
    </xf>
    <xf numFmtId="0" fontId="21" fillId="0" borderId="0" xfId="0" applyFont="1" applyAlignment="1">
      <alignment horizontal="left" indent="1"/>
    </xf>
    <xf numFmtId="0" fontId="21" fillId="0" borderId="37" xfId="0" applyFont="1" applyBorder="1" applyAlignment="1">
      <alignment horizontal="left" vertical="center" indent="1"/>
    </xf>
    <xf numFmtId="49" fontId="15" fillId="0" borderId="0" xfId="0" applyNumberFormat="1" applyFont="1" applyAlignment="1">
      <alignment horizontal="left" vertical="center" indent="1"/>
    </xf>
    <xf numFmtId="0" fontId="15" fillId="0" borderId="3" xfId="0" applyFont="1" applyBorder="1" applyAlignment="1">
      <alignment horizontal="left" vertical="center" indent="1"/>
    </xf>
    <xf numFmtId="0" fontId="15" fillId="0" borderId="1" xfId="0" applyFont="1" applyBorder="1" applyAlignment="1">
      <alignment horizontal="left" vertical="center" indent="1"/>
    </xf>
    <xf numFmtId="0" fontId="3" fillId="0" borderId="17" xfId="0" applyFont="1" applyBorder="1" applyAlignment="1">
      <alignment horizontal="left" vertical="center" indent="1"/>
    </xf>
    <xf numFmtId="0" fontId="15" fillId="0" borderId="59" xfId="0" applyFont="1" applyBorder="1" applyAlignment="1">
      <alignment horizontal="left" vertical="center" indent="2"/>
    </xf>
    <xf numFmtId="0" fontId="15" fillId="0" borderId="33" xfId="0" applyFont="1" applyBorder="1" applyAlignment="1">
      <alignment horizontal="left" vertical="center" indent="2"/>
    </xf>
    <xf numFmtId="0" fontId="15" fillId="0" borderId="34" xfId="0" applyFont="1" applyBorder="1" applyAlignment="1">
      <alignment horizontal="left" vertical="center" indent="2"/>
    </xf>
    <xf numFmtId="0" fontId="3" fillId="0" borderId="37" xfId="0" applyFont="1" applyBorder="1" applyAlignment="1">
      <alignment horizontal="left" vertical="center" indent="1"/>
    </xf>
    <xf numFmtId="0" fontId="54" fillId="10" borderId="60" xfId="0" applyFont="1" applyFill="1" applyBorder="1" applyAlignment="1">
      <alignment horizontal="left" vertical="center" indent="1"/>
    </xf>
    <xf numFmtId="0" fontId="3" fillId="0" borderId="26" xfId="0" applyFont="1" applyBorder="1" applyAlignment="1">
      <alignment horizontal="left" vertical="center" indent="1"/>
    </xf>
    <xf numFmtId="0" fontId="54" fillId="10" borderId="38" xfId="0" applyFont="1" applyFill="1" applyBorder="1" applyAlignment="1">
      <alignment horizontal="left" vertical="center" indent="1"/>
    </xf>
    <xf numFmtId="0" fontId="15" fillId="0" borderId="0" xfId="0" applyFont="1" applyAlignment="1">
      <alignment horizontal="left" vertical="center" indent="1"/>
    </xf>
    <xf numFmtId="0" fontId="55" fillId="0" borderId="17" xfId="0" applyFont="1" applyBorder="1" applyAlignment="1">
      <alignment horizontal="left" vertical="center" indent="1"/>
    </xf>
    <xf numFmtId="0" fontId="55" fillId="10" borderId="17" xfId="0" applyFont="1" applyFill="1" applyBorder="1" applyAlignment="1">
      <alignment horizontal="left" vertical="center" indent="1"/>
    </xf>
    <xf numFmtId="0" fontId="23" fillId="0" borderId="48" xfId="0" applyFont="1" applyBorder="1" applyAlignment="1">
      <alignment horizontal="left" vertical="center" indent="1"/>
    </xf>
    <xf numFmtId="0" fontId="55" fillId="10" borderId="37" xfId="0" applyFont="1" applyFill="1" applyBorder="1" applyAlignment="1">
      <alignment horizontal="left" vertical="center" indent="1"/>
    </xf>
    <xf numFmtId="0" fontId="55" fillId="0" borderId="37" xfId="0" applyFont="1" applyBorder="1" applyAlignment="1">
      <alignment horizontal="left" vertical="center" indent="1"/>
    </xf>
    <xf numFmtId="49" fontId="9" fillId="0" borderId="0" xfId="0" applyNumberFormat="1" applyFont="1" applyAlignment="1">
      <alignment horizontal="left" vertical="center" indent="1"/>
    </xf>
    <xf numFmtId="0" fontId="9" fillId="0" borderId="0" xfId="0" applyFont="1" applyAlignment="1">
      <alignment horizontal="left" vertical="center" indent="1"/>
    </xf>
    <xf numFmtId="0" fontId="9" fillId="0" borderId="3" xfId="0" applyFont="1" applyBorder="1" applyAlignment="1">
      <alignment horizontal="left" vertical="center" indent="1"/>
    </xf>
    <xf numFmtId="0" fontId="9" fillId="0" borderId="1" xfId="0" applyFont="1" applyBorder="1" applyAlignment="1">
      <alignment horizontal="left" vertical="center" indent="1"/>
    </xf>
    <xf numFmtId="0" fontId="9" fillId="0" borderId="33" xfId="0" applyFont="1" applyBorder="1" applyAlignment="1">
      <alignment horizontal="left" vertical="center" indent="2"/>
    </xf>
    <xf numFmtId="0" fontId="9" fillId="0" borderId="34" xfId="0" applyFont="1" applyBorder="1" applyAlignment="1">
      <alignment horizontal="left" vertical="center" indent="2"/>
    </xf>
    <xf numFmtId="0" fontId="9" fillId="0" borderId="36" xfId="0" applyFont="1" applyBorder="1" applyAlignment="1">
      <alignment horizontal="left" vertical="center" indent="1"/>
    </xf>
    <xf numFmtId="0" fontId="34" fillId="0" borderId="17" xfId="0" applyFont="1" applyBorder="1" applyAlignment="1">
      <alignment horizontal="left" vertical="center" indent="1"/>
    </xf>
    <xf numFmtId="0" fontId="34" fillId="10" borderId="17" xfId="0" applyFont="1" applyFill="1" applyBorder="1" applyAlignment="1">
      <alignment horizontal="left" vertical="center" indent="1"/>
    </xf>
    <xf numFmtId="0" fontId="34" fillId="10" borderId="37" xfId="0" applyFont="1" applyFill="1" applyBorder="1" applyAlignment="1">
      <alignment horizontal="left" vertical="center" indent="1"/>
    </xf>
    <xf numFmtId="0" fontId="9" fillId="0" borderId="0" xfId="0" applyFont="1" applyAlignment="1">
      <alignment horizontal="left" indent="1"/>
    </xf>
    <xf numFmtId="0" fontId="0" fillId="0" borderId="0" xfId="0" applyAlignment="1">
      <alignment horizontal="left" vertical="center" wrapText="1" indent="1"/>
    </xf>
    <xf numFmtId="49" fontId="3" fillId="0" borderId="0" xfId="0" applyNumberFormat="1" applyFont="1" applyAlignment="1">
      <alignment horizontal="left" vertical="center"/>
    </xf>
    <xf numFmtId="0" fontId="3" fillId="0" borderId="0" xfId="0" applyFont="1" applyAlignment="1">
      <alignment horizontal="right" vertical="center"/>
    </xf>
    <xf numFmtId="0" fontId="37" fillId="3" borderId="4" xfId="0" applyFont="1" applyFill="1" applyBorder="1" applyAlignment="1">
      <alignment horizontal="left" vertical="center"/>
    </xf>
    <xf numFmtId="0" fontId="43" fillId="3" borderId="21" xfId="0" applyFont="1" applyFill="1" applyBorder="1" applyAlignment="1">
      <alignment horizontal="center" vertical="center"/>
    </xf>
    <xf numFmtId="0" fontId="43" fillId="3" borderId="21" xfId="0" applyFont="1" applyFill="1" applyBorder="1" applyAlignment="1">
      <alignment horizontal="center" vertical="center" wrapText="1"/>
    </xf>
    <xf numFmtId="0" fontId="43" fillId="3" borderId="20" xfId="0" applyFont="1" applyFill="1" applyBorder="1" applyAlignment="1">
      <alignment horizontal="center" vertical="center" wrapText="1"/>
    </xf>
    <xf numFmtId="164" fontId="0" fillId="0" borderId="17" xfId="0" applyNumberFormat="1" applyBorder="1"/>
    <xf numFmtId="164" fontId="5" fillId="0" borderId="5" xfId="2" applyNumberFormat="1" applyFont="1" applyBorder="1" applyAlignment="1">
      <alignment horizontal="right" vertical="center"/>
    </xf>
    <xf numFmtId="164" fontId="5" fillId="4" borderId="5" xfId="2" applyNumberFormat="1" applyFont="1" applyFill="1" applyBorder="1" applyAlignment="1">
      <alignment horizontal="right" vertical="center"/>
    </xf>
    <xf numFmtId="3" fontId="0" fillId="0" borderId="46" xfId="0" applyNumberFormat="1" applyBorder="1"/>
    <xf numFmtId="0" fontId="3" fillId="0" borderId="43" xfId="0" applyFont="1" applyBorder="1" applyAlignment="1">
      <alignment horizontal="left" vertical="center" indent="1"/>
    </xf>
    <xf numFmtId="164" fontId="7" fillId="0" borderId="50" xfId="0" applyNumberFormat="1" applyFont="1" applyBorder="1" applyAlignment="1">
      <alignment vertical="center" shrinkToFit="1"/>
    </xf>
    <xf numFmtId="164" fontId="5" fillId="0" borderId="53" xfId="2" applyNumberFormat="1" applyFont="1" applyBorder="1" applyAlignment="1">
      <alignment horizontal="right" vertical="center"/>
    </xf>
    <xf numFmtId="3" fontId="0" fillId="0" borderId="50" xfId="0" applyNumberFormat="1" applyBorder="1"/>
    <xf numFmtId="164" fontId="0" fillId="0" borderId="0" xfId="0" applyNumberFormat="1"/>
    <xf numFmtId="164" fontId="5" fillId="0" borderId="30" xfId="2" applyNumberFormat="1" applyFont="1" applyBorder="1" applyAlignment="1">
      <alignment horizontal="center" vertical="center"/>
    </xf>
    <xf numFmtId="0" fontId="3" fillId="0" borderId="44" xfId="0" applyFont="1" applyBorder="1" applyAlignment="1">
      <alignment horizontal="left" vertical="center" indent="1"/>
    </xf>
    <xf numFmtId="0" fontId="0" fillId="0" borderId="51" xfId="0" applyBorder="1"/>
    <xf numFmtId="164" fontId="0" fillId="0" borderId="51" xfId="0" applyNumberFormat="1" applyBorder="1"/>
    <xf numFmtId="164" fontId="5" fillId="0" borderId="47" xfId="2" applyNumberFormat="1" applyFont="1" applyBorder="1" applyAlignment="1">
      <alignment horizontal="center" vertical="center"/>
    </xf>
    <xf numFmtId="0" fontId="36" fillId="14" borderId="19" xfId="0" applyFont="1" applyFill="1" applyBorder="1" applyAlignment="1">
      <alignment horizontal="left" vertical="center"/>
    </xf>
    <xf numFmtId="0" fontId="43" fillId="14" borderId="21" xfId="0" applyFont="1" applyFill="1" applyBorder="1" applyAlignment="1">
      <alignment horizontal="center" vertical="center"/>
    </xf>
    <xf numFmtId="0" fontId="43" fillId="14" borderId="21" xfId="0" applyFont="1" applyFill="1" applyBorder="1" applyAlignment="1">
      <alignment horizontal="center" vertical="center" wrapText="1"/>
    </xf>
    <xf numFmtId="0" fontId="43" fillId="14" borderId="20" xfId="0" applyFont="1" applyFill="1" applyBorder="1" applyAlignment="1">
      <alignment horizontal="center" vertical="center" wrapText="1"/>
    </xf>
    <xf numFmtId="0" fontId="3" fillId="0" borderId="33" xfId="0" applyFont="1" applyBorder="1" applyAlignment="1">
      <alignment horizontal="left" vertical="center" indent="1"/>
    </xf>
    <xf numFmtId="0" fontId="3" fillId="0" borderId="30" xfId="0" applyFont="1" applyBorder="1"/>
    <xf numFmtId="0" fontId="3" fillId="0" borderId="34" xfId="0" applyFont="1" applyBorder="1" applyAlignment="1">
      <alignment horizontal="left" vertical="center" indent="1"/>
    </xf>
    <xf numFmtId="0" fontId="3" fillId="0" borderId="31" xfId="0" applyFont="1" applyBorder="1"/>
    <xf numFmtId="10" fontId="5" fillId="0" borderId="0" xfId="0" applyNumberFormat="1" applyFont="1" applyAlignment="1">
      <alignment horizontal="left" vertical="center"/>
    </xf>
    <xf numFmtId="0" fontId="36" fillId="14" borderId="4" xfId="0" applyFont="1" applyFill="1" applyBorder="1" applyAlignment="1">
      <alignment horizontal="left" vertical="center"/>
    </xf>
    <xf numFmtId="0" fontId="3" fillId="0" borderId="23" xfId="0" applyFont="1" applyBorder="1" applyAlignment="1">
      <alignment horizontal="right" vertical="center"/>
    </xf>
    <xf numFmtId="0" fontId="3" fillId="0" borderId="35" xfId="0" applyFont="1" applyBorder="1"/>
    <xf numFmtId="0" fontId="2" fillId="0" borderId="0" xfId="0" applyFont="1" applyAlignment="1">
      <alignment horizontal="left" vertical="center"/>
    </xf>
    <xf numFmtId="0" fontId="43" fillId="16" borderId="21" xfId="0" applyFont="1" applyFill="1" applyBorder="1" applyAlignment="1">
      <alignment horizontal="center" vertical="center"/>
    </xf>
    <xf numFmtId="0" fontId="43" fillId="16" borderId="21" xfId="0" applyFont="1" applyFill="1" applyBorder="1" applyAlignment="1">
      <alignment horizontal="center" vertical="center" wrapText="1"/>
    </xf>
    <xf numFmtId="0" fontId="43" fillId="16" borderId="20" xfId="0" applyFont="1" applyFill="1" applyBorder="1" applyAlignment="1">
      <alignment horizontal="center" vertical="center" wrapText="1"/>
    </xf>
    <xf numFmtId="164" fontId="3" fillId="0" borderId="0" xfId="0" applyNumberFormat="1" applyFont="1" applyAlignment="1">
      <alignment horizontal="right" vertical="center"/>
    </xf>
    <xf numFmtId="0" fontId="37" fillId="16" borderId="4" xfId="0" applyFont="1" applyFill="1" applyBorder="1" applyAlignment="1">
      <alignment horizontal="left" vertical="center"/>
    </xf>
    <xf numFmtId="3" fontId="7" fillId="0" borderId="63" xfId="0" applyNumberFormat="1" applyFont="1" applyBorder="1" applyAlignment="1">
      <alignment vertical="center" shrinkToFit="1"/>
    </xf>
    <xf numFmtId="164" fontId="0" fillId="4" borderId="38" xfId="0" applyNumberFormat="1" applyFill="1" applyBorder="1"/>
    <xf numFmtId="3" fontId="0" fillId="4" borderId="38" xfId="0" applyNumberFormat="1" applyFill="1" applyBorder="1"/>
    <xf numFmtId="0" fontId="62" fillId="0" borderId="46" xfId="0" applyFont="1" applyBorder="1" applyAlignment="1">
      <alignment horizontal="left" vertical="center" indent="1"/>
    </xf>
    <xf numFmtId="0" fontId="62" fillId="0" borderId="62" xfId="0" applyFont="1" applyBorder="1" applyAlignment="1">
      <alignment horizontal="left" vertical="center" indent="1"/>
    </xf>
    <xf numFmtId="0" fontId="62" fillId="0" borderId="50" xfId="0" applyFont="1" applyBorder="1" applyAlignment="1">
      <alignment horizontal="left" vertical="center" indent="1"/>
    </xf>
    <xf numFmtId="0" fontId="63" fillId="4" borderId="46" xfId="0" applyFont="1" applyFill="1" applyBorder="1" applyAlignment="1">
      <alignment horizontal="left" vertical="center" indent="1"/>
    </xf>
    <xf numFmtId="0" fontId="63" fillId="0" borderId="50" xfId="0" applyFont="1" applyBorder="1" applyAlignment="1">
      <alignment horizontal="left" vertical="center" indent="1"/>
    </xf>
    <xf numFmtId="0" fontId="63" fillId="0" borderId="46" xfId="0" applyFont="1" applyBorder="1" applyAlignment="1">
      <alignment horizontal="left" vertical="center" indent="1"/>
    </xf>
    <xf numFmtId="0" fontId="63" fillId="0" borderId="0" xfId="0" applyFont="1" applyAlignment="1">
      <alignment horizontal="left" vertical="center" indent="1"/>
    </xf>
    <xf numFmtId="0" fontId="63" fillId="4" borderId="52" xfId="0" applyFont="1" applyFill="1" applyBorder="1" applyAlignment="1">
      <alignment horizontal="left" vertical="center" indent="1"/>
    </xf>
    <xf numFmtId="0" fontId="62" fillId="4" borderId="57" xfId="0" applyFont="1" applyFill="1" applyBorder="1" applyAlignment="1">
      <alignment horizontal="left" vertical="center" indent="1"/>
    </xf>
    <xf numFmtId="168" fontId="3" fillId="4" borderId="38" xfId="0" applyNumberFormat="1" applyFont="1" applyFill="1" applyBorder="1" applyAlignment="1">
      <alignment horizontal="right" vertical="center"/>
    </xf>
    <xf numFmtId="37" fontId="3" fillId="0" borderId="18" xfId="0" applyNumberFormat="1" applyFont="1" applyBorder="1" applyAlignment="1">
      <alignment horizontal="right" vertical="center"/>
    </xf>
    <xf numFmtId="37" fontId="3" fillId="4" borderId="18" xfId="0" applyNumberFormat="1" applyFont="1" applyFill="1" applyBorder="1" applyAlignment="1">
      <alignment horizontal="right" vertical="center"/>
    </xf>
    <xf numFmtId="37" fontId="3" fillId="4" borderId="38" xfId="0" applyNumberFormat="1" applyFont="1" applyFill="1" applyBorder="1" applyAlignment="1">
      <alignment horizontal="right" vertical="center"/>
    </xf>
    <xf numFmtId="37" fontId="3" fillId="0" borderId="24" xfId="0" applyNumberFormat="1" applyFont="1" applyBorder="1" applyAlignment="1">
      <alignment horizontal="right" vertical="center"/>
    </xf>
    <xf numFmtId="168" fontId="3" fillId="4" borderId="39" xfId="2" applyNumberFormat="1" applyFont="1" applyFill="1" applyBorder="1" applyAlignment="1">
      <alignment horizontal="right" vertical="center"/>
    </xf>
    <xf numFmtId="0" fontId="62" fillId="18" borderId="52" xfId="0" applyFont="1" applyFill="1" applyBorder="1" applyAlignment="1">
      <alignment horizontal="left" vertical="center" indent="1"/>
    </xf>
    <xf numFmtId="0" fontId="36" fillId="19" borderId="19" xfId="0" applyFont="1" applyFill="1" applyBorder="1" applyAlignment="1">
      <alignment horizontal="left" vertical="center"/>
    </xf>
    <xf numFmtId="0" fontId="43" fillId="19" borderId="21" xfId="0" applyFont="1" applyFill="1" applyBorder="1" applyAlignment="1">
      <alignment horizontal="center" vertical="center"/>
    </xf>
    <xf numFmtId="0" fontId="43" fillId="19" borderId="21" xfId="0" applyFont="1" applyFill="1" applyBorder="1" applyAlignment="1">
      <alignment horizontal="center" vertical="center" wrapText="1"/>
    </xf>
    <xf numFmtId="0" fontId="43" fillId="19" borderId="20" xfId="0" applyFont="1" applyFill="1" applyBorder="1" applyAlignment="1">
      <alignment horizontal="center" vertical="center" wrapText="1"/>
    </xf>
    <xf numFmtId="0" fontId="58" fillId="20" borderId="55" xfId="0" applyFont="1" applyFill="1" applyBorder="1" applyAlignment="1">
      <alignment horizontal="center" vertical="center" wrapText="1"/>
    </xf>
    <xf numFmtId="0" fontId="63" fillId="0" borderId="17" xfId="0" applyFont="1" applyBorder="1" applyAlignment="1">
      <alignment horizontal="left" vertical="center" indent="1"/>
    </xf>
    <xf numFmtId="0" fontId="63" fillId="17" borderId="40" xfId="0" applyFont="1" applyFill="1" applyBorder="1" applyAlignment="1">
      <alignment horizontal="left" vertical="center" indent="1"/>
    </xf>
    <xf numFmtId="37" fontId="3" fillId="17" borderId="41" xfId="0" applyNumberFormat="1" applyFont="1" applyFill="1" applyBorder="1" applyAlignment="1">
      <alignment horizontal="right" vertical="center"/>
    </xf>
    <xf numFmtId="37" fontId="0" fillId="0" borderId="17" xfId="0" applyNumberFormat="1" applyBorder="1" applyAlignment="1">
      <alignment vertical="center"/>
    </xf>
    <xf numFmtId="168" fontId="3" fillId="17" borderId="38" xfId="0" applyNumberFormat="1" applyFont="1" applyFill="1" applyBorder="1" applyAlignment="1">
      <alignment horizontal="right" vertical="center"/>
    </xf>
    <xf numFmtId="168" fontId="5" fillId="17" borderId="42" xfId="2" applyNumberFormat="1" applyFont="1" applyFill="1" applyBorder="1" applyAlignment="1">
      <alignment horizontal="right" vertical="center"/>
    </xf>
    <xf numFmtId="168" fontId="5" fillId="0" borderId="0" xfId="2" applyNumberFormat="1" applyFont="1" applyBorder="1" applyAlignment="1">
      <alignment horizontal="right" vertical="center"/>
    </xf>
    <xf numFmtId="168" fontId="7" fillId="0" borderId="63" xfId="0" applyNumberFormat="1" applyFont="1" applyBorder="1" applyAlignment="1">
      <alignment vertical="center" shrinkToFit="1"/>
    </xf>
    <xf numFmtId="0" fontId="3" fillId="0" borderId="33" xfId="0" applyFont="1" applyBorder="1"/>
    <xf numFmtId="168" fontId="3" fillId="0" borderId="54" xfId="2" applyNumberFormat="1" applyFont="1" applyFill="1" applyBorder="1" applyAlignment="1">
      <alignment horizontal="right" vertical="center"/>
    </xf>
    <xf numFmtId="0" fontId="62" fillId="18" borderId="62" xfId="0" applyFont="1" applyFill="1" applyBorder="1" applyAlignment="1">
      <alignment horizontal="left" vertical="center" indent="1"/>
    </xf>
    <xf numFmtId="37" fontId="3" fillId="18" borderId="24" xfId="0" applyNumberFormat="1" applyFont="1" applyFill="1" applyBorder="1" applyAlignment="1">
      <alignment horizontal="right" vertical="center"/>
    </xf>
    <xf numFmtId="168" fontId="3" fillId="18" borderId="24" xfId="0" applyNumberFormat="1" applyFont="1" applyFill="1" applyBorder="1" applyAlignment="1">
      <alignment horizontal="right" vertical="center"/>
    </xf>
    <xf numFmtId="168" fontId="3" fillId="18" borderId="29" xfId="2" applyNumberFormat="1" applyFont="1" applyFill="1" applyBorder="1" applyAlignment="1">
      <alignment horizontal="right" vertical="center"/>
    </xf>
    <xf numFmtId="37" fontId="3" fillId="0" borderId="23" xfId="0" applyNumberFormat="1" applyFont="1" applyBorder="1" applyAlignment="1">
      <alignment horizontal="right" vertical="center"/>
    </xf>
    <xf numFmtId="168" fontId="3" fillId="0" borderId="29" xfId="2" applyNumberFormat="1" applyFont="1" applyFill="1" applyBorder="1" applyAlignment="1">
      <alignment horizontal="right" vertical="center"/>
    </xf>
    <xf numFmtId="0" fontId="62" fillId="18" borderId="46" xfId="0" applyFont="1" applyFill="1" applyBorder="1" applyAlignment="1">
      <alignment horizontal="left" vertical="center" indent="1"/>
    </xf>
    <xf numFmtId="37" fontId="3" fillId="18" borderId="26" xfId="0" applyNumberFormat="1" applyFont="1" applyFill="1" applyBorder="1" applyAlignment="1">
      <alignment horizontal="right" vertical="center"/>
    </xf>
    <xf numFmtId="168" fontId="3" fillId="18" borderId="26" xfId="0" applyNumberFormat="1" applyFont="1" applyFill="1" applyBorder="1" applyAlignment="1">
      <alignment horizontal="right" vertical="center"/>
    </xf>
    <xf numFmtId="37" fontId="3" fillId="18" borderId="41" xfId="0" applyNumberFormat="1" applyFont="1" applyFill="1" applyBorder="1" applyAlignment="1">
      <alignment horizontal="right" vertical="center"/>
    </xf>
    <xf numFmtId="168" fontId="3" fillId="18" borderId="41" xfId="0" applyNumberFormat="1" applyFont="1" applyFill="1" applyBorder="1" applyAlignment="1">
      <alignment horizontal="right" vertical="center"/>
    </xf>
    <xf numFmtId="168" fontId="3" fillId="18" borderId="42" xfId="2" applyNumberFormat="1" applyFont="1" applyFill="1" applyBorder="1" applyAlignment="1">
      <alignment horizontal="right" vertical="center"/>
    </xf>
    <xf numFmtId="0" fontId="63" fillId="0" borderId="3" xfId="0" applyFont="1" applyBorder="1" applyAlignment="1">
      <alignment horizontal="left" vertical="center" indent="1"/>
    </xf>
    <xf numFmtId="168" fontId="3" fillId="0" borderId="23" xfId="2" applyNumberFormat="1" applyFont="1" applyFill="1" applyBorder="1" applyAlignment="1">
      <alignment horizontal="right" vertical="center"/>
    </xf>
    <xf numFmtId="168" fontId="3" fillId="0" borderId="35" xfId="2" applyNumberFormat="1" applyFont="1" applyFill="1" applyBorder="1" applyAlignment="1">
      <alignment horizontal="right" vertical="center"/>
    </xf>
    <xf numFmtId="168" fontId="3" fillId="0" borderId="24" xfId="2" applyNumberFormat="1" applyFont="1" applyFill="1" applyBorder="1" applyAlignment="1">
      <alignment horizontal="right" vertical="center"/>
    </xf>
    <xf numFmtId="168" fontId="3" fillId="0" borderId="26" xfId="2" applyNumberFormat="1" applyFont="1" applyFill="1" applyBorder="1" applyAlignment="1">
      <alignment horizontal="right" vertical="center"/>
    </xf>
    <xf numFmtId="168" fontId="3" fillId="0" borderId="30" xfId="2" applyNumberFormat="1" applyFont="1" applyFill="1" applyBorder="1" applyAlignment="1">
      <alignment horizontal="right" vertical="center"/>
    </xf>
    <xf numFmtId="0" fontId="63" fillId="0" borderId="52" xfId="0" applyFont="1" applyBorder="1" applyAlignment="1">
      <alignment horizontal="left" vertical="center" indent="1"/>
    </xf>
    <xf numFmtId="37" fontId="3" fillId="0" borderId="41" xfId="0" applyNumberFormat="1" applyFont="1" applyBorder="1" applyAlignment="1">
      <alignment horizontal="right" vertical="center"/>
    </xf>
    <xf numFmtId="168" fontId="3" fillId="0" borderId="41" xfId="2" applyNumberFormat="1" applyFont="1" applyFill="1" applyBorder="1" applyAlignment="1">
      <alignment horizontal="right" vertical="center"/>
    </xf>
    <xf numFmtId="168" fontId="3" fillId="0" borderId="42" xfId="2" applyNumberFormat="1" applyFont="1" applyFill="1" applyBorder="1" applyAlignment="1">
      <alignment horizontal="right" vertical="center"/>
    </xf>
    <xf numFmtId="0" fontId="0" fillId="0" borderId="0" xfId="0" applyAlignment="1">
      <alignment horizontal="left" vertical="center" wrapText="1" indent="1"/>
    </xf>
    <xf numFmtId="0" fontId="0" fillId="9" borderId="4" xfId="0" applyFill="1" applyBorder="1" applyAlignment="1">
      <alignment horizontal="center" vertical="center"/>
    </xf>
    <xf numFmtId="0" fontId="0" fillId="9" borderId="2" xfId="0" applyFill="1" applyBorder="1" applyAlignment="1">
      <alignment horizontal="center" vertical="center"/>
    </xf>
    <xf numFmtId="0" fontId="0" fillId="9" borderId="5" xfId="0" applyFill="1" applyBorder="1" applyAlignment="1">
      <alignment horizontal="center" vertical="center"/>
    </xf>
    <xf numFmtId="0" fontId="45" fillId="0" borderId="0" xfId="0" applyFont="1" applyAlignment="1">
      <alignment horizontal="left"/>
    </xf>
    <xf numFmtId="0" fontId="5" fillId="0" borderId="0" xfId="0" applyFont="1"/>
    <xf numFmtId="10" fontId="36" fillId="13" borderId="4" xfId="0" applyNumberFormat="1" applyFont="1" applyFill="1" applyBorder="1" applyAlignment="1">
      <alignment horizontal="left" vertical="center"/>
    </xf>
    <xf numFmtId="10" fontId="36" fillId="13" borderId="2" xfId="0" applyNumberFormat="1" applyFont="1" applyFill="1" applyBorder="1" applyAlignment="1">
      <alignment horizontal="left" vertical="center"/>
    </xf>
    <xf numFmtId="10" fontId="36" fillId="13" borderId="5" xfId="0" applyNumberFormat="1" applyFont="1" applyFill="1" applyBorder="1" applyAlignment="1">
      <alignment horizontal="left" vertical="center"/>
    </xf>
    <xf numFmtId="0" fontId="36" fillId="15" borderId="4" xfId="0" applyFont="1" applyFill="1" applyBorder="1" applyAlignment="1">
      <alignment horizontal="left" vertical="center"/>
    </xf>
    <xf numFmtId="0" fontId="36" fillId="15" borderId="2" xfId="0" applyFont="1" applyFill="1" applyBorder="1" applyAlignment="1">
      <alignment horizontal="left" vertical="center"/>
    </xf>
    <xf numFmtId="0" fontId="36" fillId="15" borderId="5" xfId="0" applyFont="1" applyFill="1" applyBorder="1" applyAlignment="1">
      <alignment horizontal="left" vertical="center"/>
    </xf>
    <xf numFmtId="0" fontId="30" fillId="0" borderId="0" xfId="0" applyFont="1" applyAlignment="1">
      <alignment horizontal="left" vertical="center" wrapText="1"/>
    </xf>
    <xf numFmtId="0" fontId="30" fillId="0" borderId="4" xfId="0" applyFont="1" applyBorder="1" applyAlignment="1">
      <alignment horizontal="left" vertical="center" wrapText="1" indent="1"/>
    </xf>
    <xf numFmtId="0" fontId="30" fillId="0" borderId="2" xfId="0" applyFont="1" applyBorder="1" applyAlignment="1">
      <alignment horizontal="left" vertical="center" wrapText="1" indent="1"/>
    </xf>
    <xf numFmtId="0" fontId="30" fillId="0" borderId="5" xfId="0" applyFont="1" applyBorder="1" applyAlignment="1">
      <alignment horizontal="left" vertical="center" wrapText="1" indent="1"/>
    </xf>
    <xf numFmtId="10" fontId="37" fillId="5" borderId="4" xfId="0" applyNumberFormat="1" applyFont="1" applyFill="1" applyBorder="1" applyAlignment="1">
      <alignment horizontal="left" vertical="center"/>
    </xf>
    <xf numFmtId="10" fontId="37" fillId="5" borderId="2" xfId="0" applyNumberFormat="1" applyFont="1" applyFill="1" applyBorder="1" applyAlignment="1">
      <alignment horizontal="left" vertical="center"/>
    </xf>
    <xf numFmtId="10" fontId="37" fillId="5" borderId="5" xfId="0" applyNumberFormat="1" applyFont="1" applyFill="1" applyBorder="1" applyAlignment="1">
      <alignment horizontal="left" vertical="center"/>
    </xf>
    <xf numFmtId="0" fontId="37" fillId="8" borderId="4" xfId="0" applyFont="1" applyFill="1" applyBorder="1" applyAlignment="1">
      <alignment horizontal="left" vertical="center"/>
    </xf>
    <xf numFmtId="0" fontId="37" fillId="8" borderId="2" xfId="0" applyFont="1" applyFill="1" applyBorder="1" applyAlignment="1">
      <alignment horizontal="left" vertical="center"/>
    </xf>
    <xf numFmtId="0" fontId="37" fillId="8" borderId="5" xfId="0" applyFont="1" applyFill="1" applyBorder="1" applyAlignment="1">
      <alignment horizontal="left" vertical="center"/>
    </xf>
    <xf numFmtId="10" fontId="32" fillId="0" borderId="3" xfId="0" applyNumberFormat="1" applyFont="1" applyBorder="1" applyAlignment="1">
      <alignment horizontal="left" vertical="center" wrapText="1" indent="1"/>
    </xf>
    <xf numFmtId="10" fontId="36" fillId="5" borderId="4" xfId="0" applyNumberFormat="1" applyFont="1" applyFill="1" applyBorder="1" applyAlignment="1">
      <alignment horizontal="left" vertical="center"/>
    </xf>
    <xf numFmtId="10" fontId="36" fillId="5" borderId="2" xfId="0" applyNumberFormat="1" applyFont="1" applyFill="1" applyBorder="1" applyAlignment="1">
      <alignment horizontal="left" vertical="center"/>
    </xf>
    <xf numFmtId="10" fontId="36" fillId="5" borderId="5" xfId="0" applyNumberFormat="1" applyFont="1" applyFill="1" applyBorder="1" applyAlignment="1">
      <alignment horizontal="left" vertical="center"/>
    </xf>
    <xf numFmtId="0" fontId="36" fillId="8" borderId="4" xfId="0" applyFont="1" applyFill="1" applyBorder="1" applyAlignment="1">
      <alignment horizontal="left" vertical="center"/>
    </xf>
    <xf numFmtId="0" fontId="36" fillId="8" borderId="2" xfId="0" applyFont="1" applyFill="1" applyBorder="1" applyAlignment="1">
      <alignment horizontal="left" vertical="center"/>
    </xf>
    <xf numFmtId="0" fontId="36" fillId="8" borderId="5" xfId="0" applyFont="1" applyFill="1" applyBorder="1" applyAlignment="1">
      <alignment horizontal="left" vertical="center"/>
    </xf>
    <xf numFmtId="0" fontId="32" fillId="0" borderId="0" xfId="0" applyFont="1" applyAlignment="1">
      <alignment horizontal="left" vertical="center" wrapText="1"/>
    </xf>
    <xf numFmtId="0" fontId="37" fillId="5" borderId="4" xfId="0" applyFont="1" applyFill="1" applyBorder="1" applyAlignment="1">
      <alignment horizontal="left" vertical="center"/>
    </xf>
    <xf numFmtId="0" fontId="37" fillId="5" borderId="2" xfId="0" applyFont="1" applyFill="1" applyBorder="1" applyAlignment="1">
      <alignment horizontal="left" vertical="center"/>
    </xf>
    <xf numFmtId="0" fontId="37" fillId="5" borderId="5" xfId="0" applyFont="1" applyFill="1" applyBorder="1" applyAlignment="1">
      <alignment horizontal="left" vertical="center"/>
    </xf>
    <xf numFmtId="0" fontId="6" fillId="0" borderId="0" xfId="0" applyFont="1" applyAlignment="1">
      <alignment horizontal="left" vertical="center"/>
    </xf>
    <xf numFmtId="0" fontId="56" fillId="2" borderId="9" xfId="0" applyFont="1" applyFill="1" applyBorder="1" applyAlignment="1">
      <alignment horizontal="left" vertical="center" wrapText="1" indent="1"/>
    </xf>
    <xf numFmtId="0" fontId="56" fillId="2" borderId="10" xfId="0" applyFont="1" applyFill="1" applyBorder="1" applyAlignment="1">
      <alignment horizontal="left" vertical="center" wrapText="1" indent="1"/>
    </xf>
    <xf numFmtId="0" fontId="56" fillId="2" borderId="11" xfId="0" applyFont="1" applyFill="1" applyBorder="1" applyAlignment="1">
      <alignment horizontal="left" vertical="center" wrapText="1" indent="1"/>
    </xf>
    <xf numFmtId="0" fontId="5" fillId="2" borderId="12" xfId="0" applyFont="1" applyFill="1" applyBorder="1" applyAlignment="1">
      <alignment horizontal="left" vertical="center" wrapText="1" indent="1"/>
    </xf>
    <xf numFmtId="0" fontId="5" fillId="2" borderId="0" xfId="0" applyFont="1" applyFill="1" applyAlignment="1">
      <alignment horizontal="left" vertical="center" wrapText="1" indent="1"/>
    </xf>
    <xf numFmtId="0" fontId="5" fillId="2" borderId="13" xfId="0" applyFont="1" applyFill="1" applyBorder="1" applyAlignment="1">
      <alignment horizontal="left" vertical="center" wrapText="1" indent="1"/>
    </xf>
    <xf numFmtId="0" fontId="5" fillId="2" borderId="14" xfId="0" applyFont="1" applyFill="1" applyBorder="1" applyAlignment="1">
      <alignment horizontal="left" vertical="center" wrapText="1" indent="1"/>
    </xf>
    <xf numFmtId="0" fontId="5" fillId="2" borderId="15" xfId="0" applyFont="1" applyFill="1" applyBorder="1" applyAlignment="1">
      <alignment horizontal="left" vertical="center" wrapText="1" indent="1"/>
    </xf>
    <xf numFmtId="0" fontId="5" fillId="2" borderId="16" xfId="0" applyFont="1" applyFill="1" applyBorder="1" applyAlignment="1">
      <alignment horizontal="left" vertical="center" wrapText="1" indent="1"/>
    </xf>
    <xf numFmtId="0" fontId="36" fillId="5" borderId="4" xfId="0" applyFont="1" applyFill="1" applyBorder="1" applyAlignment="1">
      <alignment horizontal="left" vertical="center"/>
    </xf>
    <xf numFmtId="0" fontId="36" fillId="5" borderId="2" xfId="0" applyFont="1" applyFill="1" applyBorder="1" applyAlignment="1">
      <alignment horizontal="left" vertical="center"/>
    </xf>
    <xf numFmtId="0" fontId="36" fillId="5" borderId="5" xfId="0" applyFont="1" applyFill="1" applyBorder="1" applyAlignment="1">
      <alignment horizontal="left" vertical="center"/>
    </xf>
    <xf numFmtId="0" fontId="36" fillId="8" borderId="4" xfId="0" applyFont="1" applyFill="1" applyBorder="1" applyAlignment="1">
      <alignment vertical="center"/>
    </xf>
    <xf numFmtId="0" fontId="36" fillId="8" borderId="2" xfId="0" applyFont="1" applyFill="1" applyBorder="1" applyAlignment="1">
      <alignment vertical="center"/>
    </xf>
    <xf numFmtId="0" fontId="36" fillId="8" borderId="5" xfId="0" applyFont="1" applyFill="1" applyBorder="1" applyAlignment="1">
      <alignment vertical="center"/>
    </xf>
    <xf numFmtId="0" fontId="5" fillId="2" borderId="12" xfId="0" applyFont="1" applyFill="1" applyBorder="1" applyAlignment="1">
      <alignment horizontal="left" vertical="center" wrapText="1"/>
    </xf>
    <xf numFmtId="0" fontId="5" fillId="2" borderId="0" xfId="0" applyFont="1" applyFill="1" applyAlignment="1">
      <alignment horizontal="left" vertical="center" wrapText="1"/>
    </xf>
    <xf numFmtId="0" fontId="5" fillId="2" borderId="13" xfId="0" applyFont="1" applyFill="1" applyBorder="1" applyAlignment="1">
      <alignment horizontal="left" vertical="center" wrapText="1"/>
    </xf>
    <xf numFmtId="0" fontId="15" fillId="2" borderId="6" xfId="0" applyFont="1" applyFill="1" applyBorder="1" applyAlignment="1">
      <alignment horizontal="left" vertical="center" wrapText="1" indent="1"/>
    </xf>
    <xf numFmtId="0" fontId="15" fillId="2" borderId="7" xfId="0" applyFont="1" applyFill="1" applyBorder="1" applyAlignment="1">
      <alignment horizontal="left" vertical="center" wrapText="1" indent="1"/>
    </xf>
    <xf numFmtId="0" fontId="15" fillId="2" borderId="8" xfId="0" applyFont="1" applyFill="1" applyBorder="1" applyAlignment="1">
      <alignment horizontal="left" vertical="center" wrapText="1" indent="1"/>
    </xf>
    <xf numFmtId="0" fontId="5" fillId="2" borderId="9" xfId="0" applyFont="1" applyFill="1" applyBorder="1" applyAlignment="1">
      <alignment horizontal="left" vertical="center" wrapText="1" indent="1"/>
    </xf>
    <xf numFmtId="0" fontId="5" fillId="2" borderId="10" xfId="0" applyFont="1" applyFill="1" applyBorder="1" applyAlignment="1">
      <alignment horizontal="left" vertical="center" wrapText="1" indent="1"/>
    </xf>
    <xf numFmtId="0" fontId="5" fillId="2" borderId="11" xfId="0" applyFont="1" applyFill="1" applyBorder="1" applyAlignment="1">
      <alignment horizontal="left" vertical="center" wrapText="1" indent="1"/>
    </xf>
    <xf numFmtId="0" fontId="56" fillId="2" borderId="12" xfId="0" applyFont="1" applyFill="1" applyBorder="1" applyAlignment="1">
      <alignment horizontal="left" vertical="center" wrapText="1" indent="1"/>
    </xf>
    <xf numFmtId="0" fontId="56" fillId="2" borderId="0" xfId="0" applyFont="1" applyFill="1" applyAlignment="1">
      <alignment horizontal="left" vertical="center" wrapText="1" indent="1"/>
    </xf>
    <xf numFmtId="0" fontId="56" fillId="2" borderId="13" xfId="0" applyFont="1" applyFill="1" applyBorder="1" applyAlignment="1">
      <alignment horizontal="left" vertical="center" wrapText="1" indent="1"/>
    </xf>
    <xf numFmtId="49" fontId="22" fillId="0" borderId="0" xfId="0" applyNumberFormat="1" applyFont="1" applyAlignment="1">
      <alignment horizontal="left" vertical="center" wrapText="1"/>
    </xf>
    <xf numFmtId="0" fontId="22" fillId="0" borderId="0" xfId="0" applyFont="1" applyAlignment="1">
      <alignment horizontal="left" vertical="center"/>
    </xf>
    <xf numFmtId="0" fontId="40" fillId="0" borderId="0" xfId="0" applyFont="1" applyAlignment="1">
      <alignment horizontal="left" vertical="center" wrapText="1"/>
    </xf>
    <xf numFmtId="0" fontId="38" fillId="0" borderId="0" xfId="0" applyFont="1" applyAlignment="1">
      <alignment horizontal="left" vertical="center" wrapText="1"/>
    </xf>
    <xf numFmtId="0" fontId="57" fillId="20" borderId="4" xfId="0" applyFont="1" applyFill="1" applyBorder="1" applyAlignment="1">
      <alignment horizontal="center" vertical="center" wrapText="1"/>
    </xf>
    <xf numFmtId="0" fontId="57" fillId="20" borderId="2" xfId="0" applyFont="1" applyFill="1" applyBorder="1" applyAlignment="1">
      <alignment horizontal="center" vertical="center" wrapText="1"/>
    </xf>
    <xf numFmtId="0" fontId="57" fillId="20" borderId="5" xfId="0" applyFont="1" applyFill="1" applyBorder="1" applyAlignment="1">
      <alignment horizontal="center" vertical="center" wrapText="1"/>
    </xf>
  </cellXfs>
  <cellStyles count="3">
    <cellStyle name="Comma" xfId="1" builtinId="3"/>
    <cellStyle name="Normal" xfId="0" builtinId="0"/>
    <cellStyle name="Percent" xfId="2" builtinId="5"/>
  </cellStyles>
  <dxfs count="0"/>
  <tableStyles count="0" defaultTableStyle="TableStyleMedium2" defaultPivotStyle="PivotStyleLight16"/>
  <colors>
    <mruColors>
      <color rgb="FFDEEAE8"/>
      <color rgb="FF465B3B"/>
      <color rgb="FF5A887F"/>
      <color rgb="FFFFE1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file:///C:\Users\marke\Documents\_COVID\OE\Office%20of%20Hawaiian%20Affairs%20Elections%20Fact%20Sheet_files\Image_004.png" TargetMode="External"/><Relationship Id="rId1" Type="http://schemas.openxmlformats.org/officeDocument/2006/relationships/image" Target="file:///C:\Users\marke\Documents\_COVID\OE\Office%20of%20Hawaiian%20Affairs%20Elections%20Fact%20Sheet_files\Image_003.png"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44</xdr:row>
      <xdr:rowOff>0</xdr:rowOff>
    </xdr:from>
    <xdr:to>
      <xdr:col>0</xdr:col>
      <xdr:colOff>3086100</xdr:colOff>
      <xdr:row>44</xdr:row>
      <xdr:rowOff>19050</xdr:rowOff>
    </xdr:to>
    <xdr:pic>
      <xdr:nvPicPr>
        <xdr:cNvPr id="3" name="Picture 3" descr="image">
          <a:extLst>
            <a:ext uri="{FF2B5EF4-FFF2-40B4-BE49-F238E27FC236}">
              <a16:creationId xmlns:a16="http://schemas.microsoft.com/office/drawing/2014/main" id="{6FB52F90-3513-4E3F-B946-DB3D33A39A6D}"/>
            </a:ext>
          </a:extLst>
        </xdr:cNvPr>
        <xdr:cNvPicPr>
          <a:picLocks noChangeAspect="1" noChangeArrowheads="1"/>
        </xdr:cNvPicPr>
      </xdr:nvPicPr>
      <xdr:blipFill>
        <a:blip xmlns:r="http://schemas.openxmlformats.org/officeDocument/2006/relationships" r:link="rId1">
          <a:extLst>
            <a:ext uri="{28A0092B-C50C-407E-A947-70E740481C1C}">
              <a14:useLocalDpi xmlns:a14="http://schemas.microsoft.com/office/drawing/2010/main" val="0"/>
            </a:ext>
          </a:extLst>
        </a:blip>
        <a:srcRect/>
        <a:stretch>
          <a:fillRect/>
        </a:stretch>
      </xdr:blipFill>
      <xdr:spPr bwMode="auto">
        <a:xfrm>
          <a:off x="0" y="11461750"/>
          <a:ext cx="3086100" cy="19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50</xdr:row>
      <xdr:rowOff>0</xdr:rowOff>
    </xdr:from>
    <xdr:to>
      <xdr:col>0</xdr:col>
      <xdr:colOff>3086100</xdr:colOff>
      <xdr:row>50</xdr:row>
      <xdr:rowOff>12700</xdr:rowOff>
    </xdr:to>
    <xdr:pic>
      <xdr:nvPicPr>
        <xdr:cNvPr id="4" name="Picture 4" descr="image">
          <a:extLst>
            <a:ext uri="{FF2B5EF4-FFF2-40B4-BE49-F238E27FC236}">
              <a16:creationId xmlns:a16="http://schemas.microsoft.com/office/drawing/2014/main" id="{565977CC-7FA4-4DD0-8378-2EA142CBD0E8}"/>
            </a:ext>
          </a:extLst>
        </xdr:cNvPr>
        <xdr:cNvPicPr>
          <a:picLocks noChangeAspect="1" noChangeArrowheads="1"/>
        </xdr:cNvPicPr>
      </xdr:nvPicPr>
      <xdr:blipFill>
        <a:blip xmlns:r="http://schemas.openxmlformats.org/officeDocument/2006/relationships" r:link="rId2">
          <a:extLst>
            <a:ext uri="{28A0092B-C50C-407E-A947-70E740481C1C}">
              <a14:useLocalDpi xmlns:a14="http://schemas.microsoft.com/office/drawing/2010/main" val="0"/>
            </a:ext>
          </a:extLst>
        </a:blip>
        <a:srcRect/>
        <a:stretch>
          <a:fillRect/>
        </a:stretch>
      </xdr:blipFill>
      <xdr:spPr bwMode="auto">
        <a:xfrm>
          <a:off x="0" y="12706350"/>
          <a:ext cx="30861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STRAT II">
  <a:themeElements>
    <a:clrScheme name="STRAT II">
      <a:dk1>
        <a:sysClr val="windowText" lastClr="000000"/>
      </a:dk1>
      <a:lt1>
        <a:srgbClr val="FFFFFF"/>
      </a:lt1>
      <a:dk2>
        <a:srgbClr val="94B6D2"/>
      </a:dk2>
      <a:lt2>
        <a:srgbClr val="DD8047"/>
      </a:lt2>
      <a:accent1>
        <a:srgbClr val="A5AB81"/>
      </a:accent1>
      <a:accent2>
        <a:srgbClr val="D8B25C"/>
      </a:accent2>
      <a:accent3>
        <a:srgbClr val="7BA79D"/>
      </a:accent3>
      <a:accent4>
        <a:srgbClr val="9AA977"/>
      </a:accent4>
      <a:accent5>
        <a:srgbClr val="7BA8A9"/>
      </a:accent5>
      <a:accent6>
        <a:srgbClr val="907E8C"/>
      </a:accent6>
      <a:hlink>
        <a:srgbClr val="6AA07E"/>
      </a:hlink>
      <a:folHlink>
        <a:srgbClr val="A5826D"/>
      </a:folHlink>
    </a:clrScheme>
    <a:fontScheme name="Strat Plan">
      <a:majorFont>
        <a:latin typeface="HawnHelv"/>
        <a:ea typeface=""/>
        <a:cs typeface=""/>
      </a:majorFont>
      <a:minorFont>
        <a:latin typeface="HawnHelv"/>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8"/>
  <sheetViews>
    <sheetView tabSelected="1" workbookViewId="0">
      <selection activeCell="B3" sqref="B3"/>
    </sheetView>
  </sheetViews>
  <sheetFormatPr defaultColWidth="9" defaultRowHeight="13.8"/>
  <cols>
    <col min="1" max="1" width="9" style="58"/>
    <col min="2" max="2" width="62" style="59" customWidth="1"/>
    <col min="3" max="3" width="10.09765625" style="58" customWidth="1"/>
    <col min="4" max="16384" width="9" style="58"/>
  </cols>
  <sheetData>
    <row r="1" spans="1:3" ht="48" customHeight="1">
      <c r="A1" s="740" t="s">
        <v>151</v>
      </c>
      <c r="B1" s="741"/>
      <c r="C1" s="742"/>
    </row>
    <row r="4" spans="1:3" ht="69.599999999999994" customHeight="1">
      <c r="A4" s="675" t="s">
        <v>152</v>
      </c>
      <c r="B4" s="675"/>
      <c r="C4" s="675"/>
    </row>
    <row r="5" spans="1:3">
      <c r="A5" s="580"/>
      <c r="B5" s="580"/>
      <c r="C5" s="580"/>
    </row>
    <row r="6" spans="1:3" ht="50.1" customHeight="1">
      <c r="A6" s="675" t="s">
        <v>153</v>
      </c>
      <c r="B6" s="675"/>
      <c r="C6" s="675"/>
    </row>
    <row r="8" spans="1:3" ht="69">
      <c r="B8" s="59" t="s">
        <v>154</v>
      </c>
    </row>
    <row r="10" spans="1:3" ht="126" customHeight="1">
      <c r="A10" s="675" t="s">
        <v>155</v>
      </c>
      <c r="B10" s="675"/>
      <c r="C10" s="675"/>
    </row>
    <row r="12" spans="1:3" ht="64.05" customHeight="1">
      <c r="A12" s="675" t="s">
        <v>184</v>
      </c>
      <c r="B12" s="675"/>
      <c r="C12" s="675"/>
    </row>
    <row r="13" spans="1:3">
      <c r="A13" s="580"/>
      <c r="B13" s="580"/>
      <c r="C13" s="580"/>
    </row>
    <row r="14" spans="1:3" ht="64.05" customHeight="1">
      <c r="A14" s="675" t="s">
        <v>185</v>
      </c>
      <c r="B14" s="675"/>
      <c r="C14" s="675"/>
    </row>
    <row r="16" spans="1:3" ht="87.6" customHeight="1">
      <c r="A16" s="675" t="s">
        <v>156</v>
      </c>
      <c r="B16" s="675"/>
      <c r="C16" s="675"/>
    </row>
    <row r="18" spans="1:3">
      <c r="A18" s="676"/>
      <c r="B18" s="677"/>
      <c r="C18" s="678"/>
    </row>
  </sheetData>
  <mergeCells count="8">
    <mergeCell ref="A16:C16"/>
    <mergeCell ref="A18:C18"/>
    <mergeCell ref="A1:C1"/>
    <mergeCell ref="A4:C4"/>
    <mergeCell ref="A6:C6"/>
    <mergeCell ref="A10:C10"/>
    <mergeCell ref="A12:C12"/>
    <mergeCell ref="A14:C14"/>
  </mergeCells>
  <pageMargins left="0.7" right="0.7" top="0.75" bottom="0.75" header="0.3" footer="0.3"/>
  <pageSetup orientation="portrait" horizontalDpi="1200" verticalDpi="12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44"/>
  <sheetViews>
    <sheetView topLeftCell="A31" workbookViewId="0">
      <selection activeCell="A44" sqref="A44:D44"/>
    </sheetView>
  </sheetViews>
  <sheetFormatPr defaultColWidth="9" defaultRowHeight="13.8"/>
  <cols>
    <col min="1" max="1" width="36.09765625" style="515" customWidth="1"/>
    <col min="2" max="2" width="10.59765625" style="111" customWidth="1"/>
    <col min="3" max="3" width="10.59765625" style="274" customWidth="1"/>
    <col min="4" max="4" width="10.59765625" style="239" customWidth="1"/>
    <col min="5" max="16384" width="9" style="3"/>
  </cols>
  <sheetData>
    <row r="2" spans="1:6" ht="28.5" customHeight="1">
      <c r="A2" s="718" t="s">
        <v>108</v>
      </c>
      <c r="B2" s="719"/>
      <c r="C2" s="719"/>
      <c r="D2" s="720"/>
    </row>
    <row r="3" spans="1:6">
      <c r="A3" s="509" t="s">
        <v>28</v>
      </c>
    </row>
    <row r="5" spans="1:6" ht="29.25" customHeight="1">
      <c r="A5" s="708" t="s">
        <v>57</v>
      </c>
      <c r="B5" s="708"/>
      <c r="C5" s="708"/>
      <c r="D5" s="708"/>
    </row>
    <row r="8" spans="1:6" ht="30.75" customHeight="1">
      <c r="A8" s="701" t="s">
        <v>109</v>
      </c>
      <c r="B8" s="702"/>
      <c r="C8" s="702"/>
      <c r="D8" s="703"/>
    </row>
    <row r="9" spans="1:6">
      <c r="A9" s="509" t="s">
        <v>29</v>
      </c>
    </row>
    <row r="11" spans="1:6" ht="32.4">
      <c r="A11" s="503" t="s">
        <v>5</v>
      </c>
      <c r="B11" s="80" t="s">
        <v>4</v>
      </c>
      <c r="C11" s="102" t="s">
        <v>149</v>
      </c>
      <c r="D11" s="103" t="s">
        <v>148</v>
      </c>
      <c r="F11" s="56"/>
    </row>
    <row r="12" spans="1:6" ht="17.399999999999999">
      <c r="A12" s="516" t="s">
        <v>540</v>
      </c>
      <c r="B12" s="127">
        <v>133545</v>
      </c>
      <c r="C12" s="295">
        <v>0.29299999999999998</v>
      </c>
      <c r="D12" s="243">
        <f>B12/225003</f>
        <v>0.5935254196610712</v>
      </c>
      <c r="E12" s="450"/>
    </row>
    <row r="13" spans="1:6" ht="18" thickBot="1">
      <c r="A13" s="524" t="s">
        <v>671</v>
      </c>
      <c r="B13" s="379">
        <v>91458</v>
      </c>
      <c r="C13" s="300">
        <v>0.20100000000000001</v>
      </c>
      <c r="D13" s="250">
        <f t="shared" ref="D13:D14" si="0">B13/225003</f>
        <v>0.4064745803389288</v>
      </c>
      <c r="E13" s="450"/>
    </row>
    <row r="14" spans="1:6">
      <c r="A14" s="505" t="s">
        <v>56</v>
      </c>
      <c r="B14" s="122">
        <f>SUM(B12:B13)</f>
        <v>225003</v>
      </c>
      <c r="C14" s="297"/>
      <c r="D14" s="247">
        <f t="shared" si="0"/>
        <v>1</v>
      </c>
    </row>
    <row r="15" spans="1:6">
      <c r="A15" s="505" t="s">
        <v>1</v>
      </c>
      <c r="B15" s="122">
        <v>230126</v>
      </c>
      <c r="C15" s="297">
        <v>0.50600000000000001</v>
      </c>
      <c r="D15" s="251"/>
    </row>
    <row r="16" spans="1:6">
      <c r="A16" s="506" t="s">
        <v>78</v>
      </c>
      <c r="B16" s="126">
        <v>108</v>
      </c>
      <c r="C16" s="299">
        <v>0</v>
      </c>
      <c r="D16" s="253"/>
    </row>
    <row r="17" spans="1:6">
      <c r="A17" s="527"/>
    </row>
    <row r="19" spans="1:6" ht="32.4">
      <c r="A19" s="525" t="s">
        <v>2</v>
      </c>
      <c r="B19" s="80" t="s">
        <v>4</v>
      </c>
      <c r="C19" s="102" t="s">
        <v>149</v>
      </c>
      <c r="D19" s="103" t="s">
        <v>148</v>
      </c>
      <c r="F19" s="56"/>
    </row>
    <row r="20" spans="1:6" ht="18" thickBot="1">
      <c r="A20" s="529" t="s">
        <v>670</v>
      </c>
      <c r="B20" s="424">
        <v>200673</v>
      </c>
      <c r="C20" s="374">
        <v>0.441</v>
      </c>
      <c r="D20" s="334"/>
      <c r="E20" s="450"/>
    </row>
    <row r="21" spans="1:6" ht="14.25" customHeight="1">
      <c r="A21" s="505" t="s">
        <v>56</v>
      </c>
      <c r="B21" s="124"/>
      <c r="C21" s="339"/>
      <c r="D21" s="335"/>
    </row>
    <row r="22" spans="1:6">
      <c r="A22" s="505" t="s">
        <v>1</v>
      </c>
      <c r="B22" s="124">
        <v>254564</v>
      </c>
      <c r="C22" s="339">
        <v>0.55900000000000005</v>
      </c>
      <c r="D22" s="335"/>
    </row>
    <row r="23" spans="1:6">
      <c r="A23" s="506" t="s">
        <v>78</v>
      </c>
      <c r="B23" s="113">
        <v>0</v>
      </c>
      <c r="C23" s="299">
        <v>0</v>
      </c>
      <c r="D23" s="253"/>
    </row>
    <row r="24" spans="1:6">
      <c r="A24" s="527"/>
    </row>
    <row r="26" spans="1:6" ht="32.4">
      <c r="A26" s="503" t="s">
        <v>6</v>
      </c>
      <c r="B26" s="80" t="s">
        <v>4</v>
      </c>
      <c r="C26" s="102" t="s">
        <v>149</v>
      </c>
      <c r="D26" s="103" t="s">
        <v>148</v>
      </c>
      <c r="F26" s="56"/>
    </row>
    <row r="27" spans="1:6" ht="17.399999999999999">
      <c r="A27" s="516" t="s">
        <v>668</v>
      </c>
      <c r="B27" s="127">
        <v>151346</v>
      </c>
      <c r="C27" s="295">
        <v>0.33200000000000002</v>
      </c>
      <c r="D27" s="243">
        <f>B27/246062</f>
        <v>0.61507262397281981</v>
      </c>
      <c r="E27" s="450"/>
    </row>
    <row r="28" spans="1:6" ht="18" thickBot="1">
      <c r="A28" s="524" t="s">
        <v>669</v>
      </c>
      <c r="B28" s="379">
        <v>94716</v>
      </c>
      <c r="C28" s="300">
        <v>0.20799999999999999</v>
      </c>
      <c r="D28" s="250">
        <f t="shared" ref="D28:D29" si="1">B28/246062</f>
        <v>0.38492737602718013</v>
      </c>
      <c r="E28" s="450"/>
    </row>
    <row r="29" spans="1:6">
      <c r="A29" s="505" t="s">
        <v>56</v>
      </c>
      <c r="B29" s="122">
        <f>SUM(B27:B28)</f>
        <v>246062</v>
      </c>
      <c r="C29" s="297"/>
      <c r="D29" s="247">
        <f t="shared" si="1"/>
        <v>1</v>
      </c>
    </row>
    <row r="30" spans="1:6">
      <c r="A30" s="505" t="s">
        <v>1</v>
      </c>
      <c r="B30" s="122">
        <v>209065</v>
      </c>
      <c r="C30" s="297">
        <v>0.45900000000000002</v>
      </c>
      <c r="D30" s="251"/>
    </row>
    <row r="31" spans="1:6">
      <c r="A31" s="506" t="s">
        <v>78</v>
      </c>
      <c r="B31" s="126">
        <v>110</v>
      </c>
      <c r="C31" s="299">
        <v>0</v>
      </c>
      <c r="D31" s="253"/>
    </row>
    <row r="32" spans="1:6">
      <c r="A32" s="527"/>
    </row>
    <row r="34" spans="1:6" ht="32.4">
      <c r="A34" s="507" t="s">
        <v>7</v>
      </c>
      <c r="B34" s="80" t="s">
        <v>4</v>
      </c>
      <c r="C34" s="102" t="s">
        <v>149</v>
      </c>
      <c r="D34" s="103" t="s">
        <v>148</v>
      </c>
      <c r="F34" s="56"/>
    </row>
    <row r="35" spans="1:6" ht="17.399999999999999">
      <c r="A35" s="516" t="s">
        <v>204</v>
      </c>
      <c r="B35" s="127">
        <v>149998</v>
      </c>
      <c r="C35" s="295">
        <v>0.32900000000000001</v>
      </c>
      <c r="D35" s="243">
        <f>B35/313687</f>
        <v>0.47817729137643572</v>
      </c>
      <c r="E35" s="450"/>
    </row>
    <row r="36" spans="1:6" ht="17.399999999999999">
      <c r="A36" s="523" t="s">
        <v>665</v>
      </c>
      <c r="B36" s="376">
        <v>76551</v>
      </c>
      <c r="C36" s="296">
        <v>0.16800000000000001</v>
      </c>
      <c r="D36" s="245">
        <f t="shared" ref="D36:D39" si="2">B36/313687</f>
        <v>0.24403625269775286</v>
      </c>
      <c r="E36" s="450"/>
    </row>
    <row r="37" spans="1:6" ht="17.399999999999999">
      <c r="A37" s="516" t="s">
        <v>666</v>
      </c>
      <c r="B37" s="377">
        <v>59115</v>
      </c>
      <c r="C37" s="297">
        <v>0.13</v>
      </c>
      <c r="D37" s="247">
        <f t="shared" si="2"/>
        <v>0.1884521832272297</v>
      </c>
      <c r="E37" s="450"/>
    </row>
    <row r="38" spans="1:6" ht="18" thickBot="1">
      <c r="A38" s="524" t="s">
        <v>667</v>
      </c>
      <c r="B38" s="379">
        <v>28023</v>
      </c>
      <c r="C38" s="300">
        <v>6.2E-2</v>
      </c>
      <c r="D38" s="250">
        <f t="shared" si="2"/>
        <v>8.9334272698581713E-2</v>
      </c>
      <c r="E38" s="450"/>
    </row>
    <row r="39" spans="1:6">
      <c r="A39" s="505" t="s">
        <v>56</v>
      </c>
      <c r="B39" s="122">
        <f>SUM(B35:B38)</f>
        <v>313687</v>
      </c>
      <c r="C39" s="297"/>
      <c r="D39" s="247">
        <f t="shared" si="2"/>
        <v>1</v>
      </c>
    </row>
    <row r="40" spans="1:6">
      <c r="A40" s="505" t="s">
        <v>1</v>
      </c>
      <c r="B40" s="122">
        <v>141138</v>
      </c>
      <c r="C40" s="297">
        <v>0.31</v>
      </c>
      <c r="D40" s="251"/>
    </row>
    <row r="41" spans="1:6">
      <c r="A41" s="506" t="s">
        <v>78</v>
      </c>
      <c r="B41" s="126">
        <v>412</v>
      </c>
      <c r="C41" s="299">
        <v>1E-3</v>
      </c>
      <c r="D41" s="253"/>
    </row>
    <row r="42" spans="1:6">
      <c r="A42" s="527"/>
    </row>
    <row r="44" spans="1:6" ht="38.25" customHeight="1">
      <c r="A44" s="687" t="s">
        <v>132</v>
      </c>
      <c r="B44" s="687"/>
      <c r="C44" s="687"/>
      <c r="D44" s="687"/>
    </row>
  </sheetData>
  <mergeCells count="4">
    <mergeCell ref="A5:D5"/>
    <mergeCell ref="A8:D8"/>
    <mergeCell ref="A2:D2"/>
    <mergeCell ref="A44:D44"/>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52"/>
  <sheetViews>
    <sheetView topLeftCell="A40" zoomScaleNormal="100" workbookViewId="0">
      <selection activeCell="G45" sqref="G45"/>
    </sheetView>
  </sheetViews>
  <sheetFormatPr defaultColWidth="9" defaultRowHeight="13.8"/>
  <cols>
    <col min="1" max="1" width="35.796875" style="515" customWidth="1"/>
    <col min="2" max="2" width="10.59765625" style="111" customWidth="1"/>
    <col min="3" max="3" width="10.59765625" style="274" customWidth="1"/>
    <col min="4" max="4" width="10.59765625" style="323" customWidth="1"/>
    <col min="5" max="16384" width="9" style="1"/>
  </cols>
  <sheetData>
    <row r="2" spans="1:6" ht="29.25" customHeight="1">
      <c r="A2" s="718" t="s">
        <v>106</v>
      </c>
      <c r="B2" s="719"/>
      <c r="C2" s="719"/>
      <c r="D2" s="720"/>
    </row>
    <row r="3" spans="1:6">
      <c r="A3" s="509" t="s">
        <v>27</v>
      </c>
    </row>
    <row r="5" spans="1:6" ht="28.5" customHeight="1">
      <c r="A5" s="708" t="s">
        <v>57</v>
      </c>
      <c r="B5" s="708"/>
      <c r="C5" s="708"/>
      <c r="D5" s="708"/>
    </row>
    <row r="6" spans="1:6">
      <c r="A6" s="512"/>
    </row>
    <row r="8" spans="1:6" ht="28.5" customHeight="1">
      <c r="A8" s="701" t="s">
        <v>107</v>
      </c>
      <c r="B8" s="702"/>
      <c r="C8" s="702"/>
      <c r="D8" s="703"/>
    </row>
    <row r="9" spans="1:6">
      <c r="A9" s="509" t="s">
        <v>26</v>
      </c>
    </row>
    <row r="11" spans="1:6" ht="32.4">
      <c r="A11" s="513" t="s">
        <v>8</v>
      </c>
      <c r="B11" s="80" t="s">
        <v>4</v>
      </c>
      <c r="C11" s="102" t="s">
        <v>149</v>
      </c>
      <c r="D11" s="103" t="s">
        <v>148</v>
      </c>
      <c r="F11" s="56"/>
    </row>
    <row r="12" spans="1:6" ht="17.399999999999999">
      <c r="A12" s="516" t="s">
        <v>659</v>
      </c>
      <c r="B12" s="127">
        <v>67445</v>
      </c>
      <c r="C12" s="295">
        <v>0.193</v>
      </c>
      <c r="D12" s="181">
        <f>B12/219886</f>
        <v>0.3067271222360678</v>
      </c>
      <c r="E12" s="451"/>
      <c r="F12" s="13"/>
    </row>
    <row r="13" spans="1:6" ht="17.399999999999999">
      <c r="A13" s="523" t="s">
        <v>521</v>
      </c>
      <c r="B13" s="376">
        <v>57276</v>
      </c>
      <c r="C13" s="296">
        <v>0.16400000000000001</v>
      </c>
      <c r="D13" s="182">
        <f t="shared" ref="D13:D19" si="0">B13/219886</f>
        <v>0.26048043076867106</v>
      </c>
      <c r="E13" s="451"/>
      <c r="F13" s="13"/>
    </row>
    <row r="14" spans="1:6" ht="17.399999999999999">
      <c r="A14" s="516" t="s">
        <v>660</v>
      </c>
      <c r="B14" s="377">
        <v>27976</v>
      </c>
      <c r="C14" s="297">
        <v>0.08</v>
      </c>
      <c r="D14" s="183">
        <f t="shared" si="0"/>
        <v>0.12722956441064914</v>
      </c>
      <c r="E14" s="451"/>
      <c r="F14" s="13"/>
    </row>
    <row r="15" spans="1:6" ht="17.399999999999999">
      <c r="A15" s="523" t="s">
        <v>661</v>
      </c>
      <c r="B15" s="376">
        <v>27773</v>
      </c>
      <c r="C15" s="296">
        <v>0.08</v>
      </c>
      <c r="D15" s="182">
        <f t="shared" si="0"/>
        <v>0.12630635874953386</v>
      </c>
      <c r="E15" s="451"/>
      <c r="F15" s="13"/>
    </row>
    <row r="16" spans="1:6" ht="17.399999999999999">
      <c r="A16" s="516" t="s">
        <v>662</v>
      </c>
      <c r="B16" s="377">
        <v>16132</v>
      </c>
      <c r="C16" s="297">
        <v>4.5999999999999999E-2</v>
      </c>
      <c r="D16" s="183">
        <f t="shared" si="0"/>
        <v>7.3365289286266525E-2</v>
      </c>
      <c r="E16" s="451"/>
      <c r="F16" s="13"/>
    </row>
    <row r="17" spans="1:6" ht="17.399999999999999">
      <c r="A17" s="523" t="s">
        <v>663</v>
      </c>
      <c r="B17" s="376">
        <v>13569</v>
      </c>
      <c r="C17" s="296">
        <v>3.9E-2</v>
      </c>
      <c r="D17" s="182">
        <f t="shared" si="0"/>
        <v>6.1709249338293477E-2</v>
      </c>
      <c r="E17" s="451"/>
      <c r="F17" s="13"/>
    </row>
    <row r="18" spans="1:6" ht="14.25" customHeight="1" thickBot="1">
      <c r="A18" s="518" t="s">
        <v>664</v>
      </c>
      <c r="B18" s="424">
        <v>9715</v>
      </c>
      <c r="C18" s="324" t="s">
        <v>37</v>
      </c>
      <c r="D18" s="342">
        <f t="shared" si="0"/>
        <v>4.4181985210518179E-2</v>
      </c>
      <c r="E18" s="452"/>
      <c r="F18" s="14"/>
    </row>
    <row r="19" spans="1:6" ht="14.25" customHeight="1">
      <c r="A19" s="505" t="s">
        <v>56</v>
      </c>
      <c r="B19" s="124">
        <f>SUM(B12:B18)</f>
        <v>219886</v>
      </c>
      <c r="C19" s="325"/>
      <c r="D19" s="183">
        <f t="shared" si="0"/>
        <v>1</v>
      </c>
      <c r="E19" s="14"/>
      <c r="F19" s="14"/>
    </row>
    <row r="20" spans="1:6">
      <c r="A20" s="505" t="s">
        <v>1</v>
      </c>
      <c r="B20" s="124">
        <v>127213</v>
      </c>
      <c r="C20" s="339">
        <v>0.36499999999999999</v>
      </c>
      <c r="D20" s="326"/>
    </row>
    <row r="21" spans="1:6">
      <c r="A21" s="506" t="s">
        <v>78</v>
      </c>
      <c r="B21" s="113">
        <v>1652</v>
      </c>
      <c r="C21" s="294">
        <v>5.0000000000000001E-3</v>
      </c>
      <c r="D21" s="327"/>
      <c r="E21" s="8"/>
      <c r="F21" s="8"/>
    </row>
    <row r="24" spans="1:6" ht="32.4">
      <c r="A24" s="507" t="s">
        <v>3</v>
      </c>
      <c r="B24" s="80" t="s">
        <v>4</v>
      </c>
      <c r="C24" s="102" t="s">
        <v>149</v>
      </c>
      <c r="D24" s="103" t="s">
        <v>148</v>
      </c>
      <c r="F24" s="56"/>
    </row>
    <row r="25" spans="1:6" ht="17.399999999999999">
      <c r="A25" s="516" t="s">
        <v>657</v>
      </c>
      <c r="B25" s="127">
        <v>122460</v>
      </c>
      <c r="C25" s="295">
        <v>0.35099999999999998</v>
      </c>
      <c r="D25" s="328">
        <f>B25/186272</f>
        <v>0.65742570005153755</v>
      </c>
      <c r="E25" s="451"/>
    </row>
    <row r="26" spans="1:6" ht="18" thickBot="1">
      <c r="A26" s="524" t="s">
        <v>658</v>
      </c>
      <c r="B26" s="379">
        <v>63812</v>
      </c>
      <c r="C26" s="300">
        <v>0.183</v>
      </c>
      <c r="D26" s="329">
        <f t="shared" ref="D26:D27" si="1">B26/186272</f>
        <v>0.34257429994846245</v>
      </c>
      <c r="E26" s="451"/>
    </row>
    <row r="27" spans="1:6">
      <c r="A27" s="505" t="s">
        <v>56</v>
      </c>
      <c r="B27" s="122">
        <f>SUM(B25:B26)</f>
        <v>186272</v>
      </c>
      <c r="C27" s="297"/>
      <c r="D27" s="330">
        <f t="shared" si="1"/>
        <v>1</v>
      </c>
    </row>
    <row r="28" spans="1:6">
      <c r="A28" s="505" t="s">
        <v>1</v>
      </c>
      <c r="B28" s="122">
        <v>162447</v>
      </c>
      <c r="C28" s="297">
        <v>0.46600000000000003</v>
      </c>
      <c r="D28" s="331"/>
    </row>
    <row r="29" spans="1:6">
      <c r="A29" s="506" t="s">
        <v>78</v>
      </c>
      <c r="B29" s="126">
        <v>32</v>
      </c>
      <c r="C29" s="299">
        <v>0</v>
      </c>
      <c r="D29" s="332"/>
    </row>
    <row r="30" spans="1:6">
      <c r="A30" s="527"/>
    </row>
    <row r="32" spans="1:6" ht="32.4">
      <c r="A32" s="513" t="s">
        <v>9</v>
      </c>
      <c r="B32" s="80" t="s">
        <v>4</v>
      </c>
      <c r="C32" s="102" t="s">
        <v>149</v>
      </c>
      <c r="D32" s="103" t="s">
        <v>148</v>
      </c>
      <c r="F32" s="56"/>
    </row>
    <row r="33" spans="1:5" ht="17.399999999999999">
      <c r="A33" s="516" t="s">
        <v>645</v>
      </c>
      <c r="B33" s="127">
        <v>112258</v>
      </c>
      <c r="C33" s="295">
        <v>0.107</v>
      </c>
      <c r="D33" s="328">
        <f>B33/665640</f>
        <v>0.16864671594255154</v>
      </c>
      <c r="E33" s="451"/>
    </row>
    <row r="34" spans="1:5" ht="17.399999999999999">
      <c r="A34" s="523" t="s">
        <v>781</v>
      </c>
      <c r="B34" s="376">
        <v>102274</v>
      </c>
      <c r="C34" s="296">
        <v>9.8000000000000004E-2</v>
      </c>
      <c r="D34" s="333">
        <f t="shared" ref="D34:D47" si="2">B34/665640</f>
        <v>0.15364761733068927</v>
      </c>
      <c r="E34" s="451"/>
    </row>
    <row r="35" spans="1:5" ht="17.399999999999999">
      <c r="A35" s="516" t="s">
        <v>646</v>
      </c>
      <c r="B35" s="377">
        <v>88688</v>
      </c>
      <c r="C35" s="297">
        <v>8.5000000000000006E-2</v>
      </c>
      <c r="D35" s="330">
        <f t="shared" si="2"/>
        <v>0.13323718526530859</v>
      </c>
      <c r="E35" s="451"/>
    </row>
    <row r="36" spans="1:5" ht="17.399999999999999">
      <c r="A36" s="523" t="s">
        <v>647</v>
      </c>
      <c r="B36" s="376">
        <v>80526</v>
      </c>
      <c r="C36" s="296">
        <v>7.6999999999999999E-2</v>
      </c>
      <c r="D36" s="333">
        <f t="shared" si="2"/>
        <v>0.12097530196502614</v>
      </c>
      <c r="E36" s="451"/>
    </row>
    <row r="37" spans="1:5" ht="17.399999999999999">
      <c r="A37" s="516" t="s">
        <v>648</v>
      </c>
      <c r="B37" s="377">
        <v>53320</v>
      </c>
      <c r="C37" s="297">
        <v>5.0999999999999997E-2</v>
      </c>
      <c r="D37" s="330">
        <f t="shared" si="2"/>
        <v>8.0103359173126609E-2</v>
      </c>
      <c r="E37" s="451"/>
    </row>
    <row r="38" spans="1:5" ht="17.399999999999999">
      <c r="A38" s="523" t="s">
        <v>649</v>
      </c>
      <c r="B38" s="376">
        <v>52216</v>
      </c>
      <c r="C38" s="296">
        <v>0.05</v>
      </c>
      <c r="D38" s="333">
        <f t="shared" si="2"/>
        <v>7.8444804999699538E-2</v>
      </c>
      <c r="E38" s="451"/>
    </row>
    <row r="39" spans="1:5" ht="17.399999999999999">
      <c r="A39" s="516" t="s">
        <v>633</v>
      </c>
      <c r="B39" s="377">
        <v>31709</v>
      </c>
      <c r="C39" s="297">
        <v>0.03</v>
      </c>
      <c r="D39" s="330">
        <f t="shared" si="2"/>
        <v>4.7636860765578992E-2</v>
      </c>
      <c r="E39" s="451"/>
    </row>
    <row r="40" spans="1:5" ht="17.399999999999999">
      <c r="A40" s="523" t="s">
        <v>650</v>
      </c>
      <c r="B40" s="376">
        <v>29725</v>
      </c>
      <c r="C40" s="296">
        <v>2.8000000000000001E-2</v>
      </c>
      <c r="D40" s="333">
        <f t="shared" si="2"/>
        <v>4.4656270656811492E-2</v>
      </c>
      <c r="E40" s="451"/>
    </row>
    <row r="41" spans="1:5" ht="17.399999999999999">
      <c r="A41" s="516" t="s">
        <v>651</v>
      </c>
      <c r="B41" s="377">
        <v>26936</v>
      </c>
      <c r="C41" s="297">
        <v>2.5999999999999999E-2</v>
      </c>
      <c r="D41" s="330">
        <f t="shared" si="2"/>
        <v>4.0466318129920076E-2</v>
      </c>
      <c r="E41" s="451"/>
    </row>
    <row r="42" spans="1:5" ht="17.399999999999999">
      <c r="A42" s="523" t="s">
        <v>652</v>
      </c>
      <c r="B42" s="376">
        <v>25329</v>
      </c>
      <c r="C42" s="296">
        <v>2.4E-2</v>
      </c>
      <c r="D42" s="333">
        <f t="shared" si="2"/>
        <v>3.8052100234360918E-2</v>
      </c>
      <c r="E42" s="451"/>
    </row>
    <row r="43" spans="1:5" ht="17.399999999999999">
      <c r="A43" s="516" t="s">
        <v>653</v>
      </c>
      <c r="B43" s="377">
        <v>17360</v>
      </c>
      <c r="C43" s="297">
        <v>1.7000000000000001E-2</v>
      </c>
      <c r="D43" s="330">
        <f t="shared" si="2"/>
        <v>2.6080163451715641E-2</v>
      </c>
      <c r="E43" s="451"/>
    </row>
    <row r="44" spans="1:5" ht="17.399999999999999">
      <c r="A44" s="523" t="s">
        <v>654</v>
      </c>
      <c r="B44" s="376">
        <v>16492</v>
      </c>
      <c r="C44" s="296">
        <v>1.6E-2</v>
      </c>
      <c r="D44" s="333">
        <f t="shared" si="2"/>
        <v>2.4776155279129859E-2</v>
      </c>
      <c r="E44" s="451"/>
    </row>
    <row r="45" spans="1:5" ht="17.399999999999999">
      <c r="A45" s="516" t="s">
        <v>655</v>
      </c>
      <c r="B45" s="377">
        <v>14664</v>
      </c>
      <c r="C45" s="297">
        <v>1.4E-2</v>
      </c>
      <c r="D45" s="330">
        <f t="shared" si="2"/>
        <v>2.2029926086172706E-2</v>
      </c>
      <c r="E45" s="451"/>
    </row>
    <row r="46" spans="1:5" ht="18" thickBot="1">
      <c r="A46" s="524" t="s">
        <v>656</v>
      </c>
      <c r="B46" s="379">
        <v>14143</v>
      </c>
      <c r="C46" s="300">
        <v>1.4E-2</v>
      </c>
      <c r="D46" s="329">
        <f t="shared" si="2"/>
        <v>2.1247220719908658E-2</v>
      </c>
      <c r="E46" s="451"/>
    </row>
    <row r="47" spans="1:5">
      <c r="A47" s="505" t="s">
        <v>56</v>
      </c>
      <c r="B47" s="122">
        <f>SUM(B33:B46)</f>
        <v>665640</v>
      </c>
      <c r="C47" s="297"/>
      <c r="D47" s="330">
        <f t="shared" si="2"/>
        <v>1</v>
      </c>
    </row>
    <row r="48" spans="1:5">
      <c r="A48" s="505" t="s">
        <v>1</v>
      </c>
      <c r="B48" s="122">
        <v>379572</v>
      </c>
      <c r="C48" s="297">
        <v>0.36299999999999999</v>
      </c>
      <c r="D48" s="331"/>
    </row>
    <row r="49" spans="1:4">
      <c r="A49" s="506" t="s">
        <v>78</v>
      </c>
      <c r="B49" s="126">
        <v>347</v>
      </c>
      <c r="C49" s="299">
        <v>1E-3</v>
      </c>
      <c r="D49" s="332"/>
    </row>
    <row r="50" spans="1:4">
      <c r="A50" s="527"/>
    </row>
    <row r="52" spans="1:4" ht="38.25" customHeight="1">
      <c r="A52" s="687" t="s">
        <v>131</v>
      </c>
      <c r="B52" s="687"/>
      <c r="C52" s="687"/>
      <c r="D52" s="687"/>
    </row>
  </sheetData>
  <mergeCells count="4">
    <mergeCell ref="A5:D5"/>
    <mergeCell ref="A8:D8"/>
    <mergeCell ref="A2:D2"/>
    <mergeCell ref="A52:D52"/>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42"/>
  <sheetViews>
    <sheetView workbookViewId="0">
      <selection activeCell="G37" sqref="G37"/>
    </sheetView>
  </sheetViews>
  <sheetFormatPr defaultColWidth="9" defaultRowHeight="13.8"/>
  <cols>
    <col min="1" max="1" width="36.5" style="515" customWidth="1"/>
    <col min="2" max="2" width="10.59765625" style="111" customWidth="1"/>
    <col min="3" max="3" width="10.59765625" style="274" customWidth="1"/>
    <col min="4" max="4" width="10.59765625" style="239" customWidth="1"/>
    <col min="5" max="16384" width="9" style="3"/>
  </cols>
  <sheetData>
    <row r="2" spans="1:6" ht="29.25" customHeight="1">
      <c r="A2" s="718" t="s">
        <v>105</v>
      </c>
      <c r="B2" s="719"/>
      <c r="C2" s="719"/>
      <c r="D2" s="720"/>
    </row>
    <row r="3" spans="1:6">
      <c r="A3" s="509" t="s">
        <v>24</v>
      </c>
    </row>
    <row r="5" spans="1:6" ht="29.25" customHeight="1">
      <c r="A5" s="708" t="s">
        <v>57</v>
      </c>
      <c r="B5" s="708"/>
      <c r="C5" s="708"/>
      <c r="D5" s="708"/>
    </row>
    <row r="6" spans="1:6">
      <c r="A6" s="512"/>
    </row>
    <row r="8" spans="1:6" ht="28.5" customHeight="1">
      <c r="A8" s="701" t="s">
        <v>104</v>
      </c>
      <c r="B8" s="702"/>
      <c r="C8" s="702"/>
      <c r="D8" s="703"/>
    </row>
    <row r="9" spans="1:6">
      <c r="A9" s="509" t="s">
        <v>25</v>
      </c>
    </row>
    <row r="11" spans="1:6" ht="32.4">
      <c r="A11" s="525" t="s">
        <v>5</v>
      </c>
      <c r="B11" s="80" t="s">
        <v>4</v>
      </c>
      <c r="C11" s="102" t="s">
        <v>149</v>
      </c>
      <c r="D11" s="103" t="s">
        <v>148</v>
      </c>
      <c r="F11" s="56"/>
    </row>
    <row r="12" spans="1:6" ht="17.399999999999999">
      <c r="A12" s="530" t="s">
        <v>540</v>
      </c>
      <c r="B12" s="423"/>
      <c r="C12" s="322"/>
      <c r="D12" s="466"/>
      <c r="E12" s="451"/>
    </row>
    <row r="15" spans="1:6" ht="32.4">
      <c r="A15" s="525" t="s">
        <v>2</v>
      </c>
      <c r="B15" s="80" t="s">
        <v>4</v>
      </c>
      <c r="C15" s="102" t="s">
        <v>149</v>
      </c>
      <c r="D15" s="103" t="s">
        <v>148</v>
      </c>
      <c r="F15" s="56"/>
    </row>
    <row r="16" spans="1:6" ht="17.399999999999999">
      <c r="A16" s="530" t="s">
        <v>541</v>
      </c>
      <c r="B16" s="423"/>
      <c r="C16" s="322"/>
      <c r="D16" s="466"/>
      <c r="E16" s="451"/>
    </row>
    <row r="19" spans="1:6" ht="32.4">
      <c r="A19" s="503" t="s">
        <v>6</v>
      </c>
      <c r="B19" s="80" t="s">
        <v>4</v>
      </c>
      <c r="C19" s="102" t="s">
        <v>149</v>
      </c>
      <c r="D19" s="103" t="s">
        <v>148</v>
      </c>
      <c r="F19" s="56"/>
    </row>
    <row r="20" spans="1:6" ht="17.399999999999999">
      <c r="A20" s="516" t="s">
        <v>275</v>
      </c>
      <c r="B20" s="127">
        <v>72580</v>
      </c>
      <c r="C20" s="295">
        <v>0.16800000000000001</v>
      </c>
      <c r="D20" s="243">
        <f>B20/276267</f>
        <v>0.26271686448254766</v>
      </c>
      <c r="E20" s="451"/>
    </row>
    <row r="21" spans="1:6" ht="17.399999999999999">
      <c r="A21" s="523" t="s">
        <v>558</v>
      </c>
      <c r="B21" s="376">
        <v>53882</v>
      </c>
      <c r="C21" s="296">
        <v>0.125</v>
      </c>
      <c r="D21" s="245">
        <f t="shared" ref="D21:D27" si="0">B21/276267</f>
        <v>0.19503596158788419</v>
      </c>
      <c r="E21" s="451"/>
    </row>
    <row r="22" spans="1:6" ht="17.399999999999999">
      <c r="A22" s="516" t="s">
        <v>227</v>
      </c>
      <c r="B22" s="377">
        <v>53879</v>
      </c>
      <c r="C22" s="297">
        <v>0.125</v>
      </c>
      <c r="D22" s="247">
        <f t="shared" si="0"/>
        <v>0.19502510252762725</v>
      </c>
      <c r="E22" s="451"/>
    </row>
    <row r="23" spans="1:6" ht="17.399999999999999">
      <c r="A23" s="523" t="s">
        <v>641</v>
      </c>
      <c r="B23" s="376">
        <v>26766</v>
      </c>
      <c r="C23" s="296">
        <v>6.2E-2</v>
      </c>
      <c r="D23" s="245">
        <f t="shared" si="0"/>
        <v>9.6884535612288117E-2</v>
      </c>
      <c r="E23" s="451"/>
    </row>
    <row r="24" spans="1:6" ht="17.399999999999999">
      <c r="A24" s="516" t="s">
        <v>642</v>
      </c>
      <c r="B24" s="377">
        <v>25921</v>
      </c>
      <c r="C24" s="297">
        <v>0.06</v>
      </c>
      <c r="D24" s="247">
        <f t="shared" si="0"/>
        <v>9.3825900306587467E-2</v>
      </c>
      <c r="E24" s="451"/>
    </row>
    <row r="25" spans="1:6" ht="17.399999999999999">
      <c r="A25" s="523" t="s">
        <v>643</v>
      </c>
      <c r="B25" s="376">
        <v>25761</v>
      </c>
      <c r="C25" s="296">
        <v>0.06</v>
      </c>
      <c r="D25" s="245">
        <f t="shared" si="0"/>
        <v>9.324675042621812E-2</v>
      </c>
      <c r="E25" s="451"/>
    </row>
    <row r="26" spans="1:6" ht="18" thickBot="1">
      <c r="A26" s="518" t="s">
        <v>644</v>
      </c>
      <c r="B26" s="378">
        <v>17478</v>
      </c>
      <c r="C26" s="298">
        <v>4.1000000000000002E-2</v>
      </c>
      <c r="D26" s="256">
        <f t="shared" si="0"/>
        <v>6.3264885056847187E-2</v>
      </c>
      <c r="E26" s="451"/>
    </row>
    <row r="27" spans="1:6">
      <c r="A27" s="505" t="s">
        <v>56</v>
      </c>
      <c r="B27" s="122">
        <f>SUM(B20:B26)</f>
        <v>276267</v>
      </c>
      <c r="C27" s="297"/>
      <c r="D27" s="247">
        <f t="shared" si="0"/>
        <v>1</v>
      </c>
    </row>
    <row r="28" spans="1:6">
      <c r="A28" s="505" t="s">
        <v>1</v>
      </c>
      <c r="B28" s="122">
        <v>154437</v>
      </c>
      <c r="C28" s="297">
        <v>0.35799999999999998</v>
      </c>
      <c r="D28" s="251"/>
    </row>
    <row r="29" spans="1:6">
      <c r="A29" s="506" t="s">
        <v>78</v>
      </c>
      <c r="B29" s="126">
        <v>442</v>
      </c>
      <c r="C29" s="299">
        <v>1E-3</v>
      </c>
      <c r="D29" s="253"/>
    </row>
    <row r="30" spans="1:6">
      <c r="A30" s="527"/>
    </row>
    <row r="32" spans="1:6" ht="32.4">
      <c r="A32" s="528" t="s">
        <v>7</v>
      </c>
      <c r="B32" s="80" t="s">
        <v>4</v>
      </c>
      <c r="C32" s="102" t="s">
        <v>149</v>
      </c>
      <c r="D32" s="103" t="s">
        <v>148</v>
      </c>
      <c r="F32" s="56"/>
    </row>
    <row r="33" spans="1:5" ht="17.399999999999999">
      <c r="A33" s="516" t="s">
        <v>204</v>
      </c>
      <c r="B33" s="127">
        <v>184993</v>
      </c>
      <c r="C33" s="295">
        <v>0.42899999999999999</v>
      </c>
      <c r="D33" s="243">
        <f>B33/290859</f>
        <v>0.63602295270216835</v>
      </c>
      <c r="E33" s="451"/>
    </row>
    <row r="34" spans="1:5" ht="17.399999999999999">
      <c r="A34" s="531" t="s">
        <v>640</v>
      </c>
      <c r="B34" s="376">
        <v>38372</v>
      </c>
      <c r="C34" s="296">
        <v>8.8999999999999996E-2</v>
      </c>
      <c r="D34" s="245">
        <f t="shared" ref="D34:D37" si="1">B34/290859</f>
        <v>0.1319264660883796</v>
      </c>
      <c r="E34" s="451"/>
    </row>
    <row r="35" spans="1:5" ht="17.399999999999999">
      <c r="A35" s="516" t="s">
        <v>500</v>
      </c>
      <c r="B35" s="377">
        <v>34941</v>
      </c>
      <c r="C35" s="297">
        <v>8.1000000000000003E-2</v>
      </c>
      <c r="D35" s="247">
        <f t="shared" si="1"/>
        <v>0.12013037244850598</v>
      </c>
      <c r="E35" s="451"/>
    </row>
    <row r="36" spans="1:5" ht="18" thickBot="1">
      <c r="A36" s="532" t="s">
        <v>260</v>
      </c>
      <c r="B36" s="379">
        <v>32553</v>
      </c>
      <c r="C36" s="300">
        <v>7.5999999999999998E-2</v>
      </c>
      <c r="D36" s="250">
        <f t="shared" si="1"/>
        <v>0.11192020876094602</v>
      </c>
      <c r="E36" s="451"/>
    </row>
    <row r="37" spans="1:5">
      <c r="A37" s="505" t="s">
        <v>56</v>
      </c>
      <c r="B37" s="122">
        <f>SUM(B33:B36)</f>
        <v>290859</v>
      </c>
      <c r="C37" s="297"/>
      <c r="D37" s="247">
        <f t="shared" si="1"/>
        <v>1</v>
      </c>
    </row>
    <row r="38" spans="1:5">
      <c r="A38" s="505" t="s">
        <v>1</v>
      </c>
      <c r="B38" s="122">
        <v>140073</v>
      </c>
      <c r="C38" s="297">
        <v>0.32500000000000001</v>
      </c>
      <c r="D38" s="251"/>
    </row>
    <row r="39" spans="1:5">
      <c r="A39" s="506" t="s">
        <v>78</v>
      </c>
      <c r="B39" s="126">
        <v>231</v>
      </c>
      <c r="C39" s="299">
        <v>1E-3</v>
      </c>
      <c r="D39" s="253"/>
    </row>
    <row r="40" spans="1:5">
      <c r="A40" s="527"/>
    </row>
    <row r="42" spans="1:5" ht="38.25" customHeight="1">
      <c r="A42" s="687" t="s">
        <v>130</v>
      </c>
      <c r="B42" s="687"/>
      <c r="C42" s="687"/>
      <c r="D42" s="687"/>
    </row>
  </sheetData>
  <mergeCells count="4">
    <mergeCell ref="A5:D5"/>
    <mergeCell ref="A8:D8"/>
    <mergeCell ref="A2:D2"/>
    <mergeCell ref="A42:D42"/>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53"/>
  <sheetViews>
    <sheetView topLeftCell="A28" workbookViewId="0">
      <selection activeCell="E33" sqref="E33"/>
    </sheetView>
  </sheetViews>
  <sheetFormatPr defaultColWidth="9" defaultRowHeight="13.8"/>
  <cols>
    <col min="1" max="1" width="36.296875" style="533" customWidth="1"/>
    <col min="2" max="2" width="10.59765625" style="111" customWidth="1"/>
    <col min="3" max="3" width="10.59765625" style="274" customWidth="1"/>
    <col min="4" max="4" width="10.59765625" style="239" customWidth="1"/>
    <col min="5" max="16384" width="9" style="3"/>
  </cols>
  <sheetData>
    <row r="2" spans="1:6" ht="29.25" customHeight="1">
      <c r="A2" s="718" t="s">
        <v>102</v>
      </c>
      <c r="B2" s="719"/>
      <c r="C2" s="719"/>
      <c r="D2" s="720"/>
    </row>
    <row r="3" spans="1:6">
      <c r="A3" s="509" t="s">
        <v>23</v>
      </c>
    </row>
    <row r="5" spans="1:6" ht="29.25" customHeight="1">
      <c r="A5" s="708" t="s">
        <v>57</v>
      </c>
      <c r="B5" s="708"/>
      <c r="C5" s="708"/>
      <c r="D5" s="708"/>
    </row>
    <row r="6" spans="1:6">
      <c r="A6" s="512"/>
    </row>
    <row r="9" spans="1:6" ht="29.25" customHeight="1">
      <c r="A9" s="701" t="s">
        <v>103</v>
      </c>
      <c r="B9" s="702"/>
      <c r="C9" s="702"/>
      <c r="D9" s="703"/>
    </row>
    <row r="10" spans="1:6">
      <c r="A10" s="509" t="s">
        <v>22</v>
      </c>
    </row>
    <row r="12" spans="1:6" ht="32.4">
      <c r="A12" s="513" t="s">
        <v>9</v>
      </c>
      <c r="B12" s="80" t="s">
        <v>4</v>
      </c>
      <c r="C12" s="102" t="s">
        <v>149</v>
      </c>
      <c r="D12" s="103" t="s">
        <v>148</v>
      </c>
      <c r="F12" s="56"/>
    </row>
    <row r="13" spans="1:6" ht="17.399999999999999">
      <c r="A13" s="516" t="s">
        <v>621</v>
      </c>
      <c r="B13" s="127">
        <v>129594</v>
      </c>
      <c r="C13" s="295">
        <v>0.112</v>
      </c>
      <c r="D13" s="243">
        <f>B13/691388</f>
        <v>0.18744033740822807</v>
      </c>
      <c r="E13" s="451"/>
    </row>
    <row r="14" spans="1:6" ht="17.399999999999999">
      <c r="A14" s="523" t="s">
        <v>622</v>
      </c>
      <c r="B14" s="376">
        <v>122971</v>
      </c>
      <c r="C14" s="296">
        <v>0.106</v>
      </c>
      <c r="D14" s="245">
        <f t="shared" ref="D14:D23" si="0">B14/691388</f>
        <v>0.17786105630991569</v>
      </c>
      <c r="E14" s="451"/>
    </row>
    <row r="15" spans="1:6" ht="17.399999999999999">
      <c r="A15" s="516" t="s">
        <v>623</v>
      </c>
      <c r="B15" s="377">
        <v>109471</v>
      </c>
      <c r="C15" s="297">
        <v>9.5000000000000001E-2</v>
      </c>
      <c r="D15" s="247">
        <f t="shared" si="0"/>
        <v>0.15833511718456206</v>
      </c>
      <c r="E15" s="451"/>
    </row>
    <row r="16" spans="1:6" ht="17.399999999999999">
      <c r="A16" s="523" t="s">
        <v>624</v>
      </c>
      <c r="B16" s="376">
        <v>97633</v>
      </c>
      <c r="C16" s="296">
        <v>8.4000000000000005E-2</v>
      </c>
      <c r="D16" s="245">
        <f t="shared" si="0"/>
        <v>0.14121303812041863</v>
      </c>
      <c r="E16" s="451"/>
    </row>
    <row r="17" spans="1:6" ht="17.399999999999999">
      <c r="A17" s="516" t="s">
        <v>625</v>
      </c>
      <c r="B17" s="377">
        <v>54289</v>
      </c>
      <c r="C17" s="297">
        <v>4.7E-2</v>
      </c>
      <c r="D17" s="247">
        <f t="shared" si="0"/>
        <v>7.8521756235283222E-2</v>
      </c>
      <c r="E17" s="451"/>
    </row>
    <row r="18" spans="1:6" ht="17.399999999999999">
      <c r="A18" s="523" t="s">
        <v>229</v>
      </c>
      <c r="B18" s="376">
        <v>50063</v>
      </c>
      <c r="C18" s="296">
        <v>4.2999999999999997E-2</v>
      </c>
      <c r="D18" s="245">
        <f t="shared" si="0"/>
        <v>7.2409414106116968E-2</v>
      </c>
      <c r="E18" s="451"/>
    </row>
    <row r="19" spans="1:6" ht="17.399999999999999">
      <c r="A19" s="516" t="s">
        <v>626</v>
      </c>
      <c r="B19" s="377">
        <v>48659</v>
      </c>
      <c r="C19" s="297">
        <v>4.2000000000000003E-2</v>
      </c>
      <c r="D19" s="247">
        <f t="shared" si="0"/>
        <v>7.0378716437080185E-2</v>
      </c>
      <c r="E19" s="451"/>
    </row>
    <row r="20" spans="1:6" ht="17.399999999999999">
      <c r="A20" s="523" t="s">
        <v>627</v>
      </c>
      <c r="B20" s="376">
        <v>41960</v>
      </c>
      <c r="C20" s="296">
        <v>3.5999999999999997E-2</v>
      </c>
      <c r="D20" s="245">
        <f t="shared" si="0"/>
        <v>6.0689511533321375E-2</v>
      </c>
      <c r="E20" s="451"/>
    </row>
    <row r="21" spans="1:6" ht="17.399999999999999">
      <c r="A21" s="516" t="s">
        <v>500</v>
      </c>
      <c r="B21" s="377">
        <v>19528</v>
      </c>
      <c r="C21" s="297">
        <v>1.7000000000000001E-2</v>
      </c>
      <c r="D21" s="247">
        <f t="shared" si="0"/>
        <v>2.8244632536289321E-2</v>
      </c>
      <c r="E21" s="451"/>
    </row>
    <row r="22" spans="1:6" ht="18" thickBot="1">
      <c r="A22" s="524" t="s">
        <v>628</v>
      </c>
      <c r="B22" s="379">
        <v>17220</v>
      </c>
      <c r="C22" s="300">
        <v>1.4999999999999999E-2</v>
      </c>
      <c r="D22" s="250">
        <f t="shared" si="0"/>
        <v>2.4906420128784416E-2</v>
      </c>
      <c r="E22" s="451"/>
    </row>
    <row r="23" spans="1:6">
      <c r="A23" s="505" t="s">
        <v>56</v>
      </c>
      <c r="B23" s="122">
        <f>SUM(B13:B22)</f>
        <v>691388</v>
      </c>
      <c r="C23" s="297"/>
      <c r="D23" s="247">
        <f t="shared" si="0"/>
        <v>1</v>
      </c>
    </row>
    <row r="24" spans="1:6">
      <c r="A24" s="505" t="s">
        <v>1</v>
      </c>
      <c r="B24" s="122">
        <v>464413</v>
      </c>
      <c r="C24" s="297">
        <v>0.40200000000000002</v>
      </c>
      <c r="D24" s="251"/>
    </row>
    <row r="25" spans="1:6">
      <c r="A25" s="506" t="s">
        <v>78</v>
      </c>
      <c r="B25" s="126">
        <v>190</v>
      </c>
      <c r="C25" s="299">
        <v>0</v>
      </c>
      <c r="D25" s="253"/>
    </row>
    <row r="26" spans="1:6">
      <c r="A26" s="515"/>
    </row>
    <row r="28" spans="1:6" ht="32.4">
      <c r="A28" s="507" t="s">
        <v>3</v>
      </c>
      <c r="B28" s="80" t="s">
        <v>4</v>
      </c>
      <c r="C28" s="102" t="s">
        <v>149</v>
      </c>
      <c r="D28" s="103" t="s">
        <v>148</v>
      </c>
      <c r="F28" s="56"/>
    </row>
    <row r="29" spans="1:6" ht="17.399999999999999">
      <c r="A29" s="516" t="s">
        <v>629</v>
      </c>
      <c r="B29" s="127">
        <v>95601</v>
      </c>
      <c r="C29" s="295">
        <v>0.248</v>
      </c>
      <c r="D29" s="243">
        <f>B29/210174</f>
        <v>0.45486596819777897</v>
      </c>
      <c r="E29" s="451"/>
    </row>
    <row r="30" spans="1:6" ht="17.399999999999999">
      <c r="A30" s="523" t="s">
        <v>630</v>
      </c>
      <c r="B30" s="376">
        <v>56583</v>
      </c>
      <c r="C30" s="296">
        <v>0.14699999999999999</v>
      </c>
      <c r="D30" s="245">
        <f t="shared" ref="D30:D33" si="1">B30/210174</f>
        <v>0.26921978931742269</v>
      </c>
      <c r="E30" s="451"/>
    </row>
    <row r="31" spans="1:6" ht="17.399999999999999">
      <c r="A31" s="516" t="s">
        <v>631</v>
      </c>
      <c r="B31" s="377">
        <v>32507</v>
      </c>
      <c r="C31" s="297">
        <v>8.4000000000000005E-2</v>
      </c>
      <c r="D31" s="247">
        <f t="shared" si="1"/>
        <v>0.15466708536736229</v>
      </c>
      <c r="E31" s="451"/>
    </row>
    <row r="32" spans="1:6" ht="18" thickBot="1">
      <c r="A32" s="524" t="s">
        <v>632</v>
      </c>
      <c r="B32" s="379">
        <v>25483</v>
      </c>
      <c r="C32" s="300">
        <v>6.6000000000000003E-2</v>
      </c>
      <c r="D32" s="250">
        <f t="shared" si="1"/>
        <v>0.12124715711743603</v>
      </c>
      <c r="E32" s="451"/>
    </row>
    <row r="33" spans="1:6">
      <c r="A33" s="505" t="s">
        <v>56</v>
      </c>
      <c r="B33" s="122">
        <f>SUM(B29:B32)</f>
        <v>210174</v>
      </c>
      <c r="C33" s="297"/>
      <c r="D33" s="247">
        <f t="shared" si="1"/>
        <v>1</v>
      </c>
    </row>
    <row r="34" spans="1:6">
      <c r="A34" s="505" t="s">
        <v>1</v>
      </c>
      <c r="B34" s="122">
        <v>174982</v>
      </c>
      <c r="C34" s="297">
        <v>0.45400000000000001</v>
      </c>
      <c r="D34" s="251"/>
    </row>
    <row r="35" spans="1:6">
      <c r="A35" s="506" t="s">
        <v>78</v>
      </c>
      <c r="B35" s="126">
        <v>301</v>
      </c>
      <c r="C35" s="299">
        <v>1E-3</v>
      </c>
      <c r="D35" s="253"/>
    </row>
    <row r="36" spans="1:6">
      <c r="A36" s="515"/>
    </row>
    <row r="38" spans="1:6" ht="32.4">
      <c r="A38" s="513" t="s">
        <v>8</v>
      </c>
      <c r="B38" s="80" t="s">
        <v>4</v>
      </c>
      <c r="C38" s="102" t="s">
        <v>149</v>
      </c>
      <c r="D38" s="103" t="s">
        <v>148</v>
      </c>
      <c r="F38" s="56"/>
    </row>
    <row r="39" spans="1:6" ht="17.399999999999999">
      <c r="A39" s="516" t="s">
        <v>521</v>
      </c>
      <c r="B39" s="127">
        <v>57751</v>
      </c>
      <c r="C39" s="295">
        <v>0.15</v>
      </c>
      <c r="D39" s="243">
        <f>B39/233824</f>
        <v>0.24698491172847953</v>
      </c>
      <c r="E39" s="451"/>
    </row>
    <row r="40" spans="1:6" ht="17.399999999999999">
      <c r="A40" s="523" t="s">
        <v>562</v>
      </c>
      <c r="B40" s="376">
        <v>36555</v>
      </c>
      <c r="C40" s="296">
        <v>9.5000000000000001E-2</v>
      </c>
      <c r="D40" s="245">
        <f t="shared" ref="D40:D47" si="2">B40/233824</f>
        <v>0.15633553441905024</v>
      </c>
      <c r="E40" s="451"/>
    </row>
    <row r="41" spans="1:6" ht="17.399999999999999">
      <c r="A41" s="516" t="s">
        <v>633</v>
      </c>
      <c r="B41" s="377">
        <v>30508</v>
      </c>
      <c r="C41" s="297">
        <v>7.9000000000000001E-2</v>
      </c>
      <c r="D41" s="247">
        <f t="shared" si="2"/>
        <v>0.13047420281921446</v>
      </c>
      <c r="E41" s="451"/>
    </row>
    <row r="42" spans="1:6" ht="17.399999999999999">
      <c r="A42" s="523" t="s">
        <v>634</v>
      </c>
      <c r="B42" s="376">
        <v>29732</v>
      </c>
      <c r="C42" s="296">
        <v>7.6999999999999999E-2</v>
      </c>
      <c r="D42" s="245">
        <f t="shared" si="2"/>
        <v>0.12715546736006569</v>
      </c>
      <c r="E42" s="451"/>
    </row>
    <row r="43" spans="1:6" ht="17.399999999999999">
      <c r="A43" s="516" t="s">
        <v>635</v>
      </c>
      <c r="B43" s="377">
        <v>23827</v>
      </c>
      <c r="C43" s="297">
        <v>6.2E-2</v>
      </c>
      <c r="D43" s="247">
        <f t="shared" si="2"/>
        <v>0.10190143013548653</v>
      </c>
      <c r="E43" s="451"/>
    </row>
    <row r="44" spans="1:6" ht="17.399999999999999">
      <c r="A44" s="523" t="s">
        <v>636</v>
      </c>
      <c r="B44" s="376">
        <v>16552</v>
      </c>
      <c r="C44" s="296">
        <v>4.2999999999999997E-2</v>
      </c>
      <c r="D44" s="245">
        <f t="shared" si="2"/>
        <v>7.0788285205966875E-2</v>
      </c>
      <c r="E44" s="451"/>
    </row>
    <row r="45" spans="1:6" ht="17.399999999999999">
      <c r="A45" s="516" t="s">
        <v>637</v>
      </c>
      <c r="B45" s="377">
        <v>16057</v>
      </c>
      <c r="C45" s="297">
        <v>4.2000000000000003E-2</v>
      </c>
      <c r="D45" s="247">
        <f t="shared" si="2"/>
        <v>6.8671308334473796E-2</v>
      </c>
      <c r="E45" s="451"/>
    </row>
    <row r="46" spans="1:6" ht="17.399999999999999">
      <c r="A46" s="523" t="s">
        <v>638</v>
      </c>
      <c r="B46" s="376">
        <v>14711</v>
      </c>
      <c r="C46" s="296">
        <v>3.7999999999999999E-2</v>
      </c>
      <c r="D46" s="245">
        <f t="shared" si="2"/>
        <v>6.2914841932393592E-2</v>
      </c>
      <c r="E46" s="451"/>
    </row>
    <row r="47" spans="1:6" ht="18" thickBot="1">
      <c r="A47" s="518" t="s">
        <v>639</v>
      </c>
      <c r="B47" s="378">
        <v>8131</v>
      </c>
      <c r="C47" s="298">
        <v>2.1000000000000001E-2</v>
      </c>
      <c r="D47" s="256">
        <f t="shared" si="2"/>
        <v>3.4774018064869301E-2</v>
      </c>
      <c r="E47" s="451"/>
    </row>
    <row r="48" spans="1:6">
      <c r="A48" s="505" t="s">
        <v>56</v>
      </c>
      <c r="B48" s="122">
        <f>SUM(B39:B47)</f>
        <v>233824</v>
      </c>
      <c r="C48" s="297"/>
      <c r="D48" s="247">
        <f>B48/233824</f>
        <v>1</v>
      </c>
    </row>
    <row r="49" spans="1:4">
      <c r="A49" s="505" t="s">
        <v>1</v>
      </c>
      <c r="B49" s="122">
        <v>150181</v>
      </c>
      <c r="C49" s="297">
        <v>0.39</v>
      </c>
      <c r="D49" s="251"/>
    </row>
    <row r="50" spans="1:4">
      <c r="A50" s="506" t="s">
        <v>78</v>
      </c>
      <c r="B50" s="126">
        <v>1452</v>
      </c>
      <c r="C50" s="299">
        <v>4.0000000000000001E-3</v>
      </c>
      <c r="D50" s="253"/>
    </row>
    <row r="53" spans="1:4" ht="38.25" customHeight="1">
      <c r="A53" s="687" t="s">
        <v>129</v>
      </c>
      <c r="B53" s="687"/>
      <c r="C53" s="687"/>
      <c r="D53" s="687"/>
    </row>
  </sheetData>
  <mergeCells count="4">
    <mergeCell ref="A5:D5"/>
    <mergeCell ref="A9:D9"/>
    <mergeCell ref="A2:D2"/>
    <mergeCell ref="A53:D53"/>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167"/>
  <sheetViews>
    <sheetView topLeftCell="A27" workbookViewId="0">
      <selection activeCell="E25" sqref="E25"/>
    </sheetView>
  </sheetViews>
  <sheetFormatPr defaultColWidth="9" defaultRowHeight="13.8"/>
  <cols>
    <col min="1" max="1" width="36.59765625" style="501" customWidth="1"/>
    <col min="2" max="2" width="10.59765625" style="74" customWidth="1"/>
    <col min="3" max="4" width="10.59765625" style="83" customWidth="1"/>
    <col min="5" max="5" width="10" style="4" bestFit="1" customWidth="1"/>
    <col min="6" max="16384" width="9" style="4"/>
  </cols>
  <sheetData>
    <row r="2" spans="1:5" ht="27.75" customHeight="1">
      <c r="A2" s="705" t="s">
        <v>100</v>
      </c>
      <c r="B2" s="706"/>
      <c r="C2" s="706"/>
      <c r="D2" s="707"/>
    </row>
    <row r="3" spans="1:5">
      <c r="A3" s="534" t="s">
        <v>20</v>
      </c>
    </row>
    <row r="5" spans="1:5" ht="27.75" customHeight="1">
      <c r="A5" s="708" t="s">
        <v>57</v>
      </c>
      <c r="B5" s="708"/>
      <c r="C5" s="708"/>
      <c r="D5" s="708"/>
      <c r="E5" s="54"/>
    </row>
    <row r="8" spans="1:5" ht="29.25" customHeight="1">
      <c r="A8" s="694" t="s">
        <v>101</v>
      </c>
      <c r="B8" s="695"/>
      <c r="C8" s="695"/>
      <c r="D8" s="696"/>
    </row>
    <row r="9" spans="1:5">
      <c r="A9" s="534" t="s">
        <v>21</v>
      </c>
    </row>
    <row r="10" spans="1:5" ht="14.4" thickBot="1">
      <c r="A10" s="534"/>
    </row>
    <row r="11" spans="1:5" ht="49.5" customHeight="1" thickTop="1" thickBot="1">
      <c r="A11" s="727" t="s">
        <v>145</v>
      </c>
      <c r="B11" s="728"/>
      <c r="C11" s="728"/>
      <c r="D11" s="729"/>
    </row>
    <row r="12" spans="1:5" ht="15" thickTop="1" thickBot="1">
      <c r="A12" s="534"/>
    </row>
    <row r="13" spans="1:5" ht="23.55" customHeight="1" thickTop="1">
      <c r="A13" s="730" t="s">
        <v>48</v>
      </c>
      <c r="B13" s="731"/>
      <c r="C13" s="731"/>
      <c r="D13" s="732"/>
    </row>
    <row r="14" spans="1:5">
      <c r="A14" s="712"/>
      <c r="B14" s="713"/>
      <c r="C14" s="713"/>
      <c r="D14" s="714"/>
    </row>
    <row r="15" spans="1:5">
      <c r="A15" s="712" t="s">
        <v>49</v>
      </c>
      <c r="B15" s="713"/>
      <c r="C15" s="713"/>
      <c r="D15" s="714"/>
    </row>
    <row r="16" spans="1:5">
      <c r="A16" s="712"/>
      <c r="B16" s="713"/>
      <c r="C16" s="713"/>
      <c r="D16" s="714"/>
    </row>
    <row r="17" spans="1:6" ht="15.6">
      <c r="A17" s="733" t="s">
        <v>50</v>
      </c>
      <c r="B17" s="734"/>
      <c r="C17" s="734"/>
      <c r="D17" s="735"/>
    </row>
    <row r="18" spans="1:6">
      <c r="A18" s="712"/>
      <c r="B18" s="713"/>
      <c r="C18" s="713"/>
      <c r="D18" s="714"/>
    </row>
    <row r="19" spans="1:6">
      <c r="A19" s="712" t="s">
        <v>51</v>
      </c>
      <c r="B19" s="713"/>
      <c r="C19" s="713"/>
      <c r="D19" s="714"/>
    </row>
    <row r="20" spans="1:6">
      <c r="A20" s="712"/>
      <c r="B20" s="713"/>
      <c r="C20" s="713"/>
      <c r="D20" s="714"/>
    </row>
    <row r="21" spans="1:6">
      <c r="A21" s="712" t="s">
        <v>52</v>
      </c>
      <c r="B21" s="713"/>
      <c r="C21" s="713"/>
      <c r="D21" s="714"/>
    </row>
    <row r="22" spans="1:6">
      <c r="A22" s="712"/>
      <c r="B22" s="713"/>
      <c r="C22" s="713"/>
      <c r="D22" s="714"/>
    </row>
    <row r="23" spans="1:6" ht="308.10000000000002" customHeight="1">
      <c r="A23" s="712" t="s">
        <v>53</v>
      </c>
      <c r="B23" s="713"/>
      <c r="C23" s="713"/>
      <c r="D23" s="714"/>
    </row>
    <row r="24" spans="1:6" ht="13.5" customHeight="1">
      <c r="A24" s="724"/>
      <c r="B24" s="725"/>
      <c r="C24" s="725"/>
      <c r="D24" s="726"/>
    </row>
    <row r="25" spans="1:6" ht="31.5" customHeight="1">
      <c r="A25" s="712" t="s">
        <v>54</v>
      </c>
      <c r="B25" s="713"/>
      <c r="C25" s="713"/>
      <c r="D25" s="714"/>
    </row>
    <row r="26" spans="1:6">
      <c r="A26" s="712"/>
      <c r="B26" s="713"/>
      <c r="C26" s="713"/>
      <c r="D26" s="714"/>
    </row>
    <row r="27" spans="1:6" ht="65.099999999999994" customHeight="1" thickBot="1">
      <c r="A27" s="715" t="s">
        <v>55</v>
      </c>
      <c r="B27" s="716"/>
      <c r="C27" s="716"/>
      <c r="D27" s="717"/>
    </row>
    <row r="28" spans="1:6" ht="14.4" thickTop="1">
      <c r="A28" s="534"/>
    </row>
    <row r="30" spans="1:6" ht="32.4">
      <c r="A30" s="503" t="s">
        <v>5</v>
      </c>
      <c r="B30" s="80" t="s">
        <v>4</v>
      </c>
      <c r="C30" s="102" t="s">
        <v>149</v>
      </c>
      <c r="D30" s="103" t="s">
        <v>148</v>
      </c>
      <c r="F30" s="56"/>
    </row>
    <row r="31" spans="1:6" ht="17.399999999999999">
      <c r="A31" s="516" t="s">
        <v>540</v>
      </c>
      <c r="B31" s="418">
        <v>105181</v>
      </c>
      <c r="C31" s="285">
        <v>0.28399999999999997</v>
      </c>
      <c r="D31" s="308">
        <f>B31/205116</f>
        <v>0.51278788587920976</v>
      </c>
      <c r="E31" s="451"/>
    </row>
    <row r="32" spans="1:6" ht="18" thickBot="1">
      <c r="A32" s="524" t="s">
        <v>523</v>
      </c>
      <c r="B32" s="422">
        <v>99935</v>
      </c>
      <c r="C32" s="309">
        <v>0.27</v>
      </c>
      <c r="D32" s="310">
        <f>B32/205116</f>
        <v>0.48721211412079019</v>
      </c>
      <c r="E32" s="451"/>
    </row>
    <row r="33" spans="1:6">
      <c r="A33" s="505" t="s">
        <v>56</v>
      </c>
      <c r="B33" s="114">
        <f>SUM(B31:B32)</f>
        <v>205116</v>
      </c>
      <c r="C33" s="287"/>
      <c r="D33" s="311">
        <f>B33/205116</f>
        <v>1</v>
      </c>
    </row>
    <row r="34" spans="1:6">
      <c r="A34" s="505" t="s">
        <v>1</v>
      </c>
      <c r="B34" s="114">
        <v>165359</v>
      </c>
      <c r="C34" s="287">
        <v>0.44600000000000001</v>
      </c>
      <c r="D34" s="312"/>
    </row>
    <row r="35" spans="1:6">
      <c r="A35" s="506" t="s">
        <v>78</v>
      </c>
      <c r="B35" s="115">
        <v>37</v>
      </c>
      <c r="C35" s="313">
        <v>0</v>
      </c>
      <c r="D35" s="314"/>
    </row>
    <row r="38" spans="1:6" ht="32.4">
      <c r="A38" s="503" t="s">
        <v>136</v>
      </c>
      <c r="B38" s="80" t="s">
        <v>4</v>
      </c>
      <c r="C38" s="102" t="s">
        <v>149</v>
      </c>
      <c r="D38" s="103" t="s">
        <v>148</v>
      </c>
      <c r="F38" s="56"/>
    </row>
    <row r="39" spans="1:6" ht="17.399999999999999">
      <c r="A39" s="516" t="s">
        <v>541</v>
      </c>
      <c r="B39" s="418">
        <v>102626</v>
      </c>
      <c r="C39" s="285">
        <v>0.27699999999999997</v>
      </c>
      <c r="D39" s="308">
        <f>B39/214721</f>
        <v>0.47795045663908048</v>
      </c>
      <c r="E39" s="451"/>
    </row>
    <row r="40" spans="1:6" ht="17.399999999999999">
      <c r="A40" s="523" t="s">
        <v>542</v>
      </c>
      <c r="B40" s="419">
        <v>39182</v>
      </c>
      <c r="C40" s="286">
        <v>0.106</v>
      </c>
      <c r="D40" s="315">
        <f t="shared" ref="D40:D44" si="0">B40/214721</f>
        <v>0.18247865835200097</v>
      </c>
      <c r="E40" s="451"/>
    </row>
    <row r="41" spans="1:6" ht="17.399999999999999">
      <c r="A41" s="516" t="s">
        <v>543</v>
      </c>
      <c r="B41" s="420">
        <v>27077</v>
      </c>
      <c r="C41" s="287">
        <v>7.2999999999999995E-2</v>
      </c>
      <c r="D41" s="311">
        <f t="shared" si="0"/>
        <v>0.12610317574899521</v>
      </c>
      <c r="E41" s="451"/>
    </row>
    <row r="42" spans="1:6" ht="17.399999999999999">
      <c r="A42" s="523" t="s">
        <v>198</v>
      </c>
      <c r="B42" s="419">
        <v>25871</v>
      </c>
      <c r="C42" s="286">
        <v>7.0000000000000007E-2</v>
      </c>
      <c r="D42" s="315">
        <f t="shared" si="0"/>
        <v>0.12048658491717158</v>
      </c>
      <c r="E42" s="451"/>
    </row>
    <row r="43" spans="1:6" ht="18" thickBot="1">
      <c r="A43" s="518" t="s">
        <v>544</v>
      </c>
      <c r="B43" s="421">
        <v>19965</v>
      </c>
      <c r="C43" s="288">
        <v>5.4000000000000006E-2</v>
      </c>
      <c r="D43" s="316">
        <f t="shared" si="0"/>
        <v>9.2981124342751756E-2</v>
      </c>
      <c r="E43" s="451"/>
    </row>
    <row r="44" spans="1:6">
      <c r="A44" s="505" t="s">
        <v>56</v>
      </c>
      <c r="B44" s="114">
        <f>SUM(B39:B43)</f>
        <v>214721</v>
      </c>
      <c r="C44" s="287"/>
      <c r="D44" s="311">
        <f t="shared" si="0"/>
        <v>1</v>
      </c>
    </row>
    <row r="45" spans="1:6">
      <c r="A45" s="505" t="s">
        <v>1</v>
      </c>
      <c r="B45" s="114">
        <v>155654</v>
      </c>
      <c r="C45" s="287">
        <v>0.42</v>
      </c>
      <c r="D45" s="312"/>
    </row>
    <row r="46" spans="1:6">
      <c r="A46" s="506" t="s">
        <v>78</v>
      </c>
      <c r="B46" s="115">
        <v>137</v>
      </c>
      <c r="C46" s="313">
        <v>0</v>
      </c>
      <c r="D46" s="314"/>
    </row>
    <row r="49" spans="1:6" ht="32.4">
      <c r="A49" s="503" t="s">
        <v>135</v>
      </c>
      <c r="B49" s="80" t="s">
        <v>4</v>
      </c>
      <c r="C49" s="102" t="s">
        <v>149</v>
      </c>
      <c r="D49" s="103" t="s">
        <v>148</v>
      </c>
      <c r="F49" s="56"/>
    </row>
    <row r="50" spans="1:6" ht="17.399999999999999">
      <c r="A50" s="516" t="s">
        <v>275</v>
      </c>
      <c r="B50" s="418">
        <v>70051</v>
      </c>
      <c r="C50" s="285">
        <v>0.18899999999999997</v>
      </c>
      <c r="D50" s="308">
        <f>B50/227031</f>
        <v>0.30855257652038709</v>
      </c>
      <c r="E50" s="451"/>
    </row>
    <row r="51" spans="1:6" ht="17.399999999999999">
      <c r="A51" s="523" t="s">
        <v>545</v>
      </c>
      <c r="B51" s="419">
        <v>65145</v>
      </c>
      <c r="C51" s="286">
        <v>0.17600000000000002</v>
      </c>
      <c r="D51" s="315">
        <f t="shared" ref="D51:D55" si="1">B51/227031</f>
        <v>0.28694319277984065</v>
      </c>
      <c r="E51" s="451"/>
    </row>
    <row r="52" spans="1:6" ht="17.399999999999999">
      <c r="A52" s="516" t="s">
        <v>546</v>
      </c>
      <c r="B52" s="420">
        <v>41001</v>
      </c>
      <c r="C52" s="287">
        <v>0.111</v>
      </c>
      <c r="D52" s="311">
        <f t="shared" si="1"/>
        <v>0.18059648241870052</v>
      </c>
      <c r="E52" s="451"/>
    </row>
    <row r="53" spans="1:6" ht="17.399999999999999">
      <c r="A53" s="523" t="s">
        <v>547</v>
      </c>
      <c r="B53" s="419">
        <v>28840</v>
      </c>
      <c r="C53" s="286">
        <v>7.8E-2</v>
      </c>
      <c r="D53" s="315">
        <f t="shared" si="1"/>
        <v>0.12703111028890327</v>
      </c>
      <c r="E53" s="451"/>
    </row>
    <row r="54" spans="1:6" ht="18" thickBot="1">
      <c r="A54" s="518" t="s">
        <v>548</v>
      </c>
      <c r="B54" s="421">
        <v>21994</v>
      </c>
      <c r="C54" s="288">
        <v>5.9000000000000004E-2</v>
      </c>
      <c r="D54" s="316">
        <f t="shared" si="1"/>
        <v>9.6876637992168474E-2</v>
      </c>
      <c r="E54" s="451"/>
    </row>
    <row r="55" spans="1:6">
      <c r="A55" s="505" t="s">
        <v>56</v>
      </c>
      <c r="B55" s="114">
        <f>SUM(B50:B54)</f>
        <v>227031</v>
      </c>
      <c r="C55" s="287"/>
      <c r="D55" s="311">
        <f t="shared" si="1"/>
        <v>1</v>
      </c>
    </row>
    <row r="56" spans="1:6" ht="15" customHeight="1">
      <c r="A56" s="505" t="s">
        <v>1</v>
      </c>
      <c r="B56" s="114">
        <v>143256</v>
      </c>
      <c r="C56" s="287">
        <v>0.38700000000000001</v>
      </c>
      <c r="D56" s="312"/>
    </row>
    <row r="57" spans="1:6">
      <c r="A57" s="506" t="s">
        <v>78</v>
      </c>
      <c r="B57" s="115">
        <v>225</v>
      </c>
      <c r="C57" s="313">
        <v>1E-3</v>
      </c>
      <c r="D57" s="314"/>
    </row>
    <row r="60" spans="1:6" ht="32.4">
      <c r="A60" s="503" t="s">
        <v>35</v>
      </c>
      <c r="B60" s="80" t="s">
        <v>4</v>
      </c>
      <c r="C60" s="102" t="s">
        <v>149</v>
      </c>
      <c r="D60" s="103" t="s">
        <v>148</v>
      </c>
      <c r="F60" s="56"/>
    </row>
    <row r="61" spans="1:6" ht="17.399999999999999">
      <c r="A61" s="516" t="s">
        <v>549</v>
      </c>
      <c r="B61" s="418">
        <v>74970</v>
      </c>
      <c r="C61" s="285">
        <v>6.8000000000000005E-2</v>
      </c>
      <c r="D61" s="308">
        <f t="shared" ref="D61:D71" si="2">B61/722978</f>
        <v>0.10369610140280894</v>
      </c>
      <c r="E61" s="451"/>
    </row>
    <row r="62" spans="1:6" ht="17.399999999999999">
      <c r="A62" s="523" t="s">
        <v>550</v>
      </c>
      <c r="B62" s="419">
        <v>60077</v>
      </c>
      <c r="C62" s="286">
        <v>5.4000000000000006E-2</v>
      </c>
      <c r="D62" s="315">
        <f t="shared" si="2"/>
        <v>8.3096581085454882E-2</v>
      </c>
      <c r="E62" s="451"/>
    </row>
    <row r="63" spans="1:6" ht="17.399999999999999">
      <c r="A63" s="516" t="s">
        <v>551</v>
      </c>
      <c r="B63" s="420">
        <v>45443</v>
      </c>
      <c r="C63" s="287">
        <v>4.0999999999999995E-2</v>
      </c>
      <c r="D63" s="311">
        <f t="shared" si="2"/>
        <v>6.2855301267811747E-2</v>
      </c>
      <c r="E63" s="451"/>
    </row>
    <row r="64" spans="1:6" ht="17.399999999999999">
      <c r="A64" s="523" t="s">
        <v>552</v>
      </c>
      <c r="B64" s="419">
        <v>43624</v>
      </c>
      <c r="C64" s="286">
        <v>3.9E-2</v>
      </c>
      <c r="D64" s="315">
        <f t="shared" si="2"/>
        <v>6.0339318762120009E-2</v>
      </c>
      <c r="E64" s="451"/>
    </row>
    <row r="65" spans="1:5" ht="17.399999999999999">
      <c r="A65" s="516" t="s">
        <v>271</v>
      </c>
      <c r="B65" s="420">
        <v>39874</v>
      </c>
      <c r="C65" s="287">
        <v>3.6000000000000004E-2</v>
      </c>
      <c r="D65" s="311">
        <f t="shared" si="2"/>
        <v>5.5152438940050737E-2</v>
      </c>
      <c r="E65" s="451"/>
    </row>
    <row r="66" spans="1:5" ht="17.399999999999999">
      <c r="A66" s="523" t="s">
        <v>553</v>
      </c>
      <c r="B66" s="419">
        <v>37180</v>
      </c>
      <c r="C66" s="286">
        <v>3.4000000000000002E-2</v>
      </c>
      <c r="D66" s="315">
        <f t="shared" si="2"/>
        <v>5.1426184475876165E-2</v>
      </c>
      <c r="E66" s="451"/>
    </row>
    <row r="67" spans="1:5" ht="17.399999999999999">
      <c r="A67" s="516" t="s">
        <v>554</v>
      </c>
      <c r="B67" s="420">
        <v>26800</v>
      </c>
      <c r="C67" s="287">
        <v>2.4E-2</v>
      </c>
      <c r="D67" s="311">
        <f t="shared" si="2"/>
        <v>3.7068901128388412E-2</v>
      </c>
      <c r="E67" s="451"/>
    </row>
    <row r="68" spans="1:5" ht="17.399999999999999">
      <c r="A68" s="523" t="s">
        <v>555</v>
      </c>
      <c r="B68" s="419">
        <v>26750</v>
      </c>
      <c r="C68" s="286">
        <v>2.4E-2</v>
      </c>
      <c r="D68" s="315">
        <f t="shared" si="2"/>
        <v>3.6999742730760822E-2</v>
      </c>
      <c r="E68" s="451"/>
    </row>
    <row r="69" spans="1:5" ht="17.399999999999999">
      <c r="A69" s="516" t="s">
        <v>556</v>
      </c>
      <c r="B69" s="420">
        <v>24516</v>
      </c>
      <c r="C69" s="287">
        <v>2.2000000000000002E-2</v>
      </c>
      <c r="D69" s="311">
        <f t="shared" si="2"/>
        <v>3.3909745524760088E-2</v>
      </c>
      <c r="E69" s="451"/>
    </row>
    <row r="70" spans="1:5" ht="17.399999999999999">
      <c r="A70" s="523" t="s">
        <v>557</v>
      </c>
      <c r="B70" s="419">
        <v>23734</v>
      </c>
      <c r="C70" s="286">
        <v>2.1000000000000001E-2</v>
      </c>
      <c r="D70" s="315">
        <f t="shared" si="2"/>
        <v>3.2828108185864575E-2</v>
      </c>
      <c r="E70" s="451"/>
    </row>
    <row r="71" spans="1:5" ht="17.399999999999999">
      <c r="A71" s="516" t="s">
        <v>205</v>
      </c>
      <c r="B71" s="420">
        <v>23496</v>
      </c>
      <c r="C71" s="287">
        <v>2.1000000000000001E-2</v>
      </c>
      <c r="D71" s="311">
        <f t="shared" si="2"/>
        <v>3.2498914213157246E-2</v>
      </c>
      <c r="E71" s="451"/>
    </row>
    <row r="72" spans="1:5" ht="17.399999999999999">
      <c r="A72" s="523" t="s">
        <v>558</v>
      </c>
      <c r="B72" s="419">
        <v>17945</v>
      </c>
      <c r="C72" s="286">
        <v>1.6E-2</v>
      </c>
      <c r="D72" s="315">
        <f t="shared" ref="D72:D87" si="3">B72/722978</f>
        <v>2.4820948908542168E-2</v>
      </c>
      <c r="E72" s="451"/>
    </row>
    <row r="73" spans="1:5" ht="17.399999999999999">
      <c r="A73" s="516" t="s">
        <v>559</v>
      </c>
      <c r="B73" s="420">
        <v>17712</v>
      </c>
      <c r="C73" s="287">
        <v>1.6E-2</v>
      </c>
      <c r="D73" s="311">
        <f t="shared" si="3"/>
        <v>2.4498670775597597E-2</v>
      </c>
      <c r="E73" s="451"/>
    </row>
    <row r="74" spans="1:5" ht="17.399999999999999">
      <c r="A74" s="523" t="s">
        <v>560</v>
      </c>
      <c r="B74" s="419">
        <v>16003</v>
      </c>
      <c r="C74" s="286">
        <v>1.3999999999999999E-2</v>
      </c>
      <c r="D74" s="315">
        <f t="shared" si="3"/>
        <v>2.213483674468656E-2</v>
      </c>
      <c r="E74" s="451"/>
    </row>
    <row r="75" spans="1:5" ht="17.399999999999999">
      <c r="A75" s="516" t="s">
        <v>525</v>
      </c>
      <c r="B75" s="420">
        <v>15129</v>
      </c>
      <c r="C75" s="287">
        <v>1.3999999999999999E-2</v>
      </c>
      <c r="D75" s="311">
        <f t="shared" si="3"/>
        <v>2.0925947954156282E-2</v>
      </c>
      <c r="E75" s="451"/>
    </row>
    <row r="76" spans="1:5" ht="17.399999999999999">
      <c r="A76" s="523" t="s">
        <v>561</v>
      </c>
      <c r="B76" s="419">
        <v>14946</v>
      </c>
      <c r="C76" s="286">
        <v>1.3000000000000001E-2</v>
      </c>
      <c r="D76" s="315">
        <f t="shared" si="3"/>
        <v>2.0672828218839302E-2</v>
      </c>
      <c r="E76" s="451"/>
    </row>
    <row r="77" spans="1:5" ht="17.399999999999999">
      <c r="A77" s="516" t="s">
        <v>562</v>
      </c>
      <c r="B77" s="420">
        <v>14563</v>
      </c>
      <c r="C77" s="287">
        <v>1.3000000000000001E-2</v>
      </c>
      <c r="D77" s="311">
        <f t="shared" si="3"/>
        <v>2.014307489301196E-2</v>
      </c>
      <c r="E77" s="451"/>
    </row>
    <row r="78" spans="1:5" ht="17.399999999999999">
      <c r="A78" s="523" t="s">
        <v>563</v>
      </c>
      <c r="B78" s="419">
        <v>13043</v>
      </c>
      <c r="C78" s="286">
        <v>1.2E-2</v>
      </c>
      <c r="D78" s="315">
        <f t="shared" si="3"/>
        <v>1.8040659605133211E-2</v>
      </c>
      <c r="E78" s="451"/>
    </row>
    <row r="79" spans="1:5" ht="17.399999999999999">
      <c r="A79" s="516" t="s">
        <v>564</v>
      </c>
      <c r="B79" s="420">
        <v>11528</v>
      </c>
      <c r="C79" s="287">
        <v>0.01</v>
      </c>
      <c r="D79" s="311">
        <f t="shared" si="3"/>
        <v>1.5945160157017225E-2</v>
      </c>
      <c r="E79" s="451"/>
    </row>
    <row r="80" spans="1:5" ht="17.399999999999999">
      <c r="A80" s="523" t="s">
        <v>565</v>
      </c>
      <c r="B80" s="419">
        <v>9811</v>
      </c>
      <c r="C80" s="286">
        <v>9.0000000000000011E-3</v>
      </c>
      <c r="D80" s="315">
        <f t="shared" si="3"/>
        <v>1.3570260782485775E-2</v>
      </c>
      <c r="E80" s="451"/>
    </row>
    <row r="81" spans="1:5" ht="17.399999999999999">
      <c r="A81" s="516" t="s">
        <v>566</v>
      </c>
      <c r="B81" s="420">
        <v>9573</v>
      </c>
      <c r="C81" s="287">
        <v>9.0000000000000011E-3</v>
      </c>
      <c r="D81" s="311">
        <f t="shared" si="3"/>
        <v>1.3241066809778445E-2</v>
      </c>
      <c r="E81" s="451"/>
    </row>
    <row r="82" spans="1:5" ht="17.399999999999999">
      <c r="A82" s="523" t="s">
        <v>567</v>
      </c>
      <c r="B82" s="419">
        <v>9141</v>
      </c>
      <c r="C82" s="286">
        <v>8.0000000000000002E-3</v>
      </c>
      <c r="D82" s="315">
        <f t="shared" si="3"/>
        <v>1.2643538254276063E-2</v>
      </c>
      <c r="E82" s="451"/>
    </row>
    <row r="83" spans="1:5" ht="17.399999999999999">
      <c r="A83" s="516" t="s">
        <v>274</v>
      </c>
      <c r="B83" s="420">
        <v>8398</v>
      </c>
      <c r="C83" s="287">
        <v>8.0000000000000002E-3</v>
      </c>
      <c r="D83" s="311">
        <f t="shared" si="3"/>
        <v>1.1615844465530071E-2</v>
      </c>
      <c r="E83" s="451"/>
    </row>
    <row r="84" spans="1:5" ht="17.399999999999999">
      <c r="A84" s="523" t="s">
        <v>527</v>
      </c>
      <c r="B84" s="419">
        <v>7567</v>
      </c>
      <c r="C84" s="286">
        <v>6.9999999999999993E-3</v>
      </c>
      <c r="D84" s="315">
        <f t="shared" si="3"/>
        <v>1.0466431896959521E-2</v>
      </c>
      <c r="E84" s="451"/>
    </row>
    <row r="85" spans="1:5" ht="17.399999999999999">
      <c r="A85" s="516" t="s">
        <v>568</v>
      </c>
      <c r="B85" s="420">
        <v>7229</v>
      </c>
      <c r="C85" s="287">
        <v>6.9999999999999993E-3</v>
      </c>
      <c r="D85" s="311">
        <f t="shared" si="3"/>
        <v>9.9989211289970101E-3</v>
      </c>
      <c r="E85" s="451"/>
    </row>
    <row r="86" spans="1:5" ht="17.399999999999999">
      <c r="A86" s="523" t="s">
        <v>569</v>
      </c>
      <c r="B86" s="419">
        <v>7130</v>
      </c>
      <c r="C86" s="286">
        <v>6.0000000000000001E-3</v>
      </c>
      <c r="D86" s="315">
        <f t="shared" si="3"/>
        <v>9.8619875016943814E-3</v>
      </c>
      <c r="E86" s="451"/>
    </row>
    <row r="87" spans="1:5" ht="17.399999999999999">
      <c r="A87" s="516" t="s">
        <v>570</v>
      </c>
      <c r="B87" s="420">
        <v>7096</v>
      </c>
      <c r="C87" s="287">
        <v>6.0000000000000001E-3</v>
      </c>
      <c r="D87" s="311">
        <f t="shared" si="3"/>
        <v>9.81495979130762E-3</v>
      </c>
      <c r="E87" s="451"/>
    </row>
    <row r="88" spans="1:5" ht="17.399999999999999">
      <c r="A88" s="523" t="s">
        <v>571</v>
      </c>
      <c r="B88" s="419">
        <v>6854</v>
      </c>
      <c r="C88" s="286">
        <v>6.0000000000000001E-3</v>
      </c>
      <c r="D88" s="315">
        <f t="shared" ref="D88:D110" si="4">B88/722978</f>
        <v>9.4802331467900829E-3</v>
      </c>
      <c r="E88" s="451"/>
    </row>
    <row r="89" spans="1:5" ht="17.399999999999999">
      <c r="A89" s="516" t="s">
        <v>572</v>
      </c>
      <c r="B89" s="420">
        <v>6740</v>
      </c>
      <c r="C89" s="287">
        <v>6.0000000000000001E-3</v>
      </c>
      <c r="D89" s="311">
        <f t="shared" si="4"/>
        <v>9.3225520001991753E-3</v>
      </c>
      <c r="E89" s="451"/>
    </row>
    <row r="90" spans="1:5" ht="17.399999999999999">
      <c r="A90" s="523" t="s">
        <v>573</v>
      </c>
      <c r="B90" s="419">
        <v>6620</v>
      </c>
      <c r="C90" s="286">
        <v>6.0000000000000001E-3</v>
      </c>
      <c r="D90" s="315">
        <f t="shared" si="4"/>
        <v>9.1565718458929586E-3</v>
      </c>
      <c r="E90" s="451"/>
    </row>
    <row r="91" spans="1:5" ht="17.399999999999999">
      <c r="A91" s="516" t="s">
        <v>574</v>
      </c>
      <c r="B91" s="420">
        <v>6595</v>
      </c>
      <c r="C91" s="287">
        <v>6.0000000000000001E-3</v>
      </c>
      <c r="D91" s="311">
        <f t="shared" si="4"/>
        <v>9.1219926470791635E-3</v>
      </c>
      <c r="E91" s="451"/>
    </row>
    <row r="92" spans="1:5" ht="17.399999999999999">
      <c r="A92" s="523" t="s">
        <v>575</v>
      </c>
      <c r="B92" s="419">
        <v>6461</v>
      </c>
      <c r="C92" s="286">
        <v>6.0000000000000001E-3</v>
      </c>
      <c r="D92" s="315">
        <f t="shared" si="4"/>
        <v>8.9366481414372215E-3</v>
      </c>
      <c r="E92" s="451"/>
    </row>
    <row r="93" spans="1:5" ht="17.399999999999999">
      <c r="A93" s="516" t="s">
        <v>576</v>
      </c>
      <c r="B93" s="420">
        <v>6045</v>
      </c>
      <c r="C93" s="287">
        <v>5.0000000000000001E-3</v>
      </c>
      <c r="D93" s="311">
        <f t="shared" si="4"/>
        <v>8.3612502731756702E-3</v>
      </c>
      <c r="E93" s="451"/>
    </row>
    <row r="94" spans="1:5" ht="17.399999999999999">
      <c r="A94" s="523" t="s">
        <v>577</v>
      </c>
      <c r="B94" s="419">
        <v>6000</v>
      </c>
      <c r="C94" s="286">
        <v>5.0000000000000001E-3</v>
      </c>
      <c r="D94" s="315">
        <f t="shared" si="4"/>
        <v>8.2990077153108389E-3</v>
      </c>
      <c r="E94" s="451"/>
    </row>
    <row r="95" spans="1:5" ht="17.399999999999999">
      <c r="A95" s="516" t="s">
        <v>578</v>
      </c>
      <c r="B95" s="420">
        <v>5901</v>
      </c>
      <c r="C95" s="287">
        <v>5.0000000000000001E-3</v>
      </c>
      <c r="D95" s="311">
        <f t="shared" si="4"/>
        <v>8.1620740880082102E-3</v>
      </c>
      <c r="E95" s="451"/>
    </row>
    <row r="96" spans="1:5" ht="17.399999999999999">
      <c r="A96" s="523" t="s">
        <v>579</v>
      </c>
      <c r="B96" s="419">
        <v>5556</v>
      </c>
      <c r="C96" s="286">
        <v>5.0000000000000001E-3</v>
      </c>
      <c r="D96" s="315">
        <f t="shared" si="4"/>
        <v>7.6848811443778371E-3</v>
      </c>
      <c r="E96" s="451"/>
    </row>
    <row r="97" spans="1:5" ht="17.399999999999999">
      <c r="A97" s="516" t="s">
        <v>580</v>
      </c>
      <c r="B97" s="420">
        <v>5293</v>
      </c>
      <c r="C97" s="287">
        <v>5.0000000000000001E-3</v>
      </c>
      <c r="D97" s="311">
        <f t="shared" si="4"/>
        <v>7.3211079728567122E-3</v>
      </c>
      <c r="E97" s="451"/>
    </row>
    <row r="98" spans="1:5" ht="17.399999999999999">
      <c r="A98" s="523" t="s">
        <v>581</v>
      </c>
      <c r="B98" s="419">
        <v>5224</v>
      </c>
      <c r="C98" s="286">
        <v>5.0000000000000001E-3</v>
      </c>
      <c r="D98" s="315">
        <f t="shared" si="4"/>
        <v>7.2256693841306376E-3</v>
      </c>
      <c r="E98" s="451"/>
    </row>
    <row r="99" spans="1:5" ht="17.399999999999999">
      <c r="A99" s="516" t="s">
        <v>582</v>
      </c>
      <c r="B99" s="420">
        <v>5132</v>
      </c>
      <c r="C99" s="287">
        <v>5.0000000000000001E-3</v>
      </c>
      <c r="D99" s="311">
        <f t="shared" si="4"/>
        <v>7.0984179324958714E-3</v>
      </c>
      <c r="E99" s="451"/>
    </row>
    <row r="100" spans="1:5" ht="17.399999999999999">
      <c r="A100" s="523" t="s">
        <v>583</v>
      </c>
      <c r="B100" s="419">
        <v>4330</v>
      </c>
      <c r="C100" s="286">
        <v>4.0000000000000001E-3</v>
      </c>
      <c r="D100" s="315">
        <f t="shared" si="4"/>
        <v>5.9891172345493222E-3</v>
      </c>
      <c r="E100" s="451"/>
    </row>
    <row r="101" spans="1:5" ht="17.399999999999999">
      <c r="A101" s="516" t="s">
        <v>584</v>
      </c>
      <c r="B101" s="420">
        <v>4157</v>
      </c>
      <c r="C101" s="287">
        <v>4.0000000000000001E-3</v>
      </c>
      <c r="D101" s="311">
        <f t="shared" si="4"/>
        <v>5.7498291787578598E-3</v>
      </c>
      <c r="E101" s="451"/>
    </row>
    <row r="102" spans="1:5" ht="17.399999999999999">
      <c r="A102" s="523" t="s">
        <v>585</v>
      </c>
      <c r="B102" s="419">
        <v>3927</v>
      </c>
      <c r="C102" s="286">
        <v>4.0000000000000001E-3</v>
      </c>
      <c r="D102" s="315">
        <f t="shared" si="4"/>
        <v>5.4317005496709444E-3</v>
      </c>
      <c r="E102" s="451"/>
    </row>
    <row r="103" spans="1:5" ht="17.399999999999999">
      <c r="A103" s="516" t="s">
        <v>586</v>
      </c>
      <c r="B103" s="420">
        <v>3707</v>
      </c>
      <c r="C103" s="287">
        <v>3.0000000000000001E-3</v>
      </c>
      <c r="D103" s="311">
        <f t="shared" si="4"/>
        <v>5.1274036001095471E-3</v>
      </c>
      <c r="E103" s="451"/>
    </row>
    <row r="104" spans="1:5" ht="17.399999999999999">
      <c r="A104" s="523" t="s">
        <v>587</v>
      </c>
      <c r="B104" s="419">
        <v>3508</v>
      </c>
      <c r="C104" s="286">
        <v>3.0000000000000001E-3</v>
      </c>
      <c r="D104" s="315">
        <f t="shared" si="4"/>
        <v>4.8521531775517377E-3</v>
      </c>
      <c r="E104" s="451"/>
    </row>
    <row r="105" spans="1:5" ht="17.399999999999999">
      <c r="A105" s="516" t="s">
        <v>588</v>
      </c>
      <c r="B105" s="420">
        <v>3158</v>
      </c>
      <c r="C105" s="287">
        <v>3.0000000000000001E-3</v>
      </c>
      <c r="D105" s="311">
        <f t="shared" si="4"/>
        <v>4.3680443941586048E-3</v>
      </c>
      <c r="E105" s="451"/>
    </row>
    <row r="106" spans="1:5" ht="17.399999999999999">
      <c r="A106" s="523" t="s">
        <v>589</v>
      </c>
      <c r="B106" s="419">
        <v>3149</v>
      </c>
      <c r="C106" s="286">
        <v>3.0000000000000001E-3</v>
      </c>
      <c r="D106" s="315">
        <f t="shared" si="4"/>
        <v>4.3555958825856386E-3</v>
      </c>
      <c r="E106" s="451"/>
    </row>
    <row r="107" spans="1:5" ht="17.399999999999999">
      <c r="A107" s="516" t="s">
        <v>590</v>
      </c>
      <c r="B107" s="420">
        <v>2767</v>
      </c>
      <c r="C107" s="287">
        <v>2E-3</v>
      </c>
      <c r="D107" s="311">
        <f t="shared" si="4"/>
        <v>3.8272257247108487E-3</v>
      </c>
      <c r="E107" s="451"/>
    </row>
    <row r="108" spans="1:5" ht="17.399999999999999">
      <c r="A108" s="523" t="s">
        <v>591</v>
      </c>
      <c r="B108" s="419">
        <v>2593</v>
      </c>
      <c r="C108" s="286">
        <v>2E-3</v>
      </c>
      <c r="D108" s="315">
        <f t="shared" si="4"/>
        <v>3.5865545009668345E-3</v>
      </c>
      <c r="E108" s="451"/>
    </row>
    <row r="109" spans="1:5" ht="17.399999999999999">
      <c r="A109" s="516" t="s">
        <v>592</v>
      </c>
      <c r="B109" s="420">
        <v>2479</v>
      </c>
      <c r="C109" s="287">
        <v>2E-3</v>
      </c>
      <c r="D109" s="311">
        <f t="shared" si="4"/>
        <v>3.4288733543759286E-3</v>
      </c>
      <c r="E109" s="451"/>
    </row>
    <row r="110" spans="1:5" ht="17.399999999999999">
      <c r="A110" s="523" t="s">
        <v>593</v>
      </c>
      <c r="B110" s="419">
        <v>2036</v>
      </c>
      <c r="C110" s="286">
        <v>2E-3</v>
      </c>
      <c r="D110" s="315">
        <f t="shared" si="4"/>
        <v>2.8161299513954781E-3</v>
      </c>
      <c r="E110" s="451"/>
    </row>
    <row r="111" spans="1:5" ht="18" thickBot="1">
      <c r="A111" s="518" t="s">
        <v>594</v>
      </c>
      <c r="B111" s="421">
        <v>1468</v>
      </c>
      <c r="C111" s="288">
        <v>1E-3</v>
      </c>
      <c r="D111" s="316">
        <f>B111/722978</f>
        <v>2.0304905543460519E-3</v>
      </c>
      <c r="E111" s="451"/>
    </row>
    <row r="112" spans="1:5">
      <c r="A112" s="505" t="s">
        <v>56</v>
      </c>
      <c r="B112" s="114">
        <f>SUM(B61:B111)</f>
        <v>722978</v>
      </c>
      <c r="C112" s="287"/>
      <c r="D112" s="311">
        <f>B112/722978</f>
        <v>1</v>
      </c>
    </row>
    <row r="113" spans="1:6">
      <c r="A113" s="505" t="s">
        <v>1</v>
      </c>
      <c r="B113" s="114">
        <v>384703</v>
      </c>
      <c r="C113" s="287">
        <v>0.34700000000000003</v>
      </c>
      <c r="D113" s="312"/>
      <c r="F113" s="54"/>
    </row>
    <row r="114" spans="1:6">
      <c r="A114" s="506" t="s">
        <v>78</v>
      </c>
      <c r="B114" s="115">
        <v>1806</v>
      </c>
      <c r="C114" s="313">
        <v>2E-3</v>
      </c>
      <c r="D114" s="314"/>
    </row>
    <row r="117" spans="1:6" ht="32.4">
      <c r="A117" s="503" t="s">
        <v>137</v>
      </c>
      <c r="B117" s="80" t="s">
        <v>4</v>
      </c>
      <c r="C117" s="102" t="s">
        <v>149</v>
      </c>
      <c r="D117" s="103" t="s">
        <v>148</v>
      </c>
      <c r="F117" s="56"/>
    </row>
    <row r="118" spans="1:6" ht="17.399999999999999">
      <c r="A118" s="516" t="s">
        <v>212</v>
      </c>
      <c r="B118" s="418">
        <v>156844</v>
      </c>
      <c r="C118" s="260">
        <v>0.42299999999999999</v>
      </c>
      <c r="D118" s="308">
        <f>B118/278953</f>
        <v>0.56225959211766852</v>
      </c>
      <c r="E118" s="451"/>
    </row>
    <row r="119" spans="1:6" ht="17.399999999999999">
      <c r="A119" s="523" t="s">
        <v>595</v>
      </c>
      <c r="B119" s="419">
        <v>58170</v>
      </c>
      <c r="C119" s="262">
        <v>0.157</v>
      </c>
      <c r="D119" s="315">
        <f t="shared" ref="D119:D123" si="5">B119/278953</f>
        <v>0.20852975232386817</v>
      </c>
      <c r="E119" s="451"/>
    </row>
    <row r="120" spans="1:6" ht="17.399999999999999">
      <c r="A120" s="516" t="s">
        <v>596</v>
      </c>
      <c r="B120" s="420">
        <v>37349</v>
      </c>
      <c r="C120" s="264">
        <v>0.10099999999999999</v>
      </c>
      <c r="D120" s="311">
        <f t="shared" si="5"/>
        <v>0.13388993844841246</v>
      </c>
      <c r="E120" s="451"/>
    </row>
    <row r="121" spans="1:6" ht="17.399999999999999">
      <c r="A121" s="523" t="s">
        <v>597</v>
      </c>
      <c r="B121" s="419">
        <v>18022</v>
      </c>
      <c r="C121" s="262">
        <v>4.9000000000000002E-2</v>
      </c>
      <c r="D121" s="315">
        <f t="shared" si="5"/>
        <v>6.460586550422473E-2</v>
      </c>
      <c r="E121" s="451"/>
    </row>
    <row r="122" spans="1:6" ht="18" thickBot="1">
      <c r="A122" s="518" t="s">
        <v>533</v>
      </c>
      <c r="B122" s="421">
        <v>8568</v>
      </c>
      <c r="C122" s="271">
        <v>2.3E-2</v>
      </c>
      <c r="D122" s="316">
        <f t="shared" si="5"/>
        <v>3.0714851605826071E-2</v>
      </c>
      <c r="E122" s="451"/>
    </row>
    <row r="123" spans="1:6">
      <c r="A123" s="505" t="s">
        <v>56</v>
      </c>
      <c r="B123" s="114">
        <f>SUM(B118:B122)</f>
        <v>278953</v>
      </c>
      <c r="C123" s="264"/>
      <c r="D123" s="311">
        <f t="shared" si="5"/>
        <v>1</v>
      </c>
    </row>
    <row r="124" spans="1:6">
      <c r="A124" s="505" t="s">
        <v>1</v>
      </c>
      <c r="B124" s="114">
        <v>91689</v>
      </c>
      <c r="C124" s="264">
        <v>0.247</v>
      </c>
      <c r="D124" s="312"/>
    </row>
    <row r="125" spans="1:6">
      <c r="A125" s="506" t="s">
        <v>78</v>
      </c>
      <c r="B125" s="115">
        <v>391</v>
      </c>
      <c r="C125" s="269">
        <v>1E-3</v>
      </c>
      <c r="D125" s="314"/>
    </row>
    <row r="128" spans="1:6" ht="32.4">
      <c r="A128" s="503" t="s">
        <v>138</v>
      </c>
      <c r="B128" s="80" t="s">
        <v>4</v>
      </c>
      <c r="C128" s="102" t="s">
        <v>149</v>
      </c>
      <c r="D128" s="103" t="s">
        <v>148</v>
      </c>
      <c r="F128" s="56"/>
    </row>
    <row r="129" spans="1:6" ht="17.399999999999999">
      <c r="A129" s="516" t="s">
        <v>598</v>
      </c>
      <c r="B129" s="418">
        <v>101548</v>
      </c>
      <c r="C129" s="317">
        <v>0.27399999999999997</v>
      </c>
      <c r="D129" s="308">
        <f>B129/242435</f>
        <v>0.41886691278074534</v>
      </c>
      <c r="E129" s="451"/>
    </row>
    <row r="130" spans="1:6" ht="17.399999999999999">
      <c r="A130" s="523" t="s">
        <v>227</v>
      </c>
      <c r="B130" s="419">
        <v>38589</v>
      </c>
      <c r="C130" s="318">
        <v>0.10400000000000001</v>
      </c>
      <c r="D130" s="315">
        <f t="shared" ref="D130:D137" si="6">B130/242435</f>
        <v>0.1591725617175738</v>
      </c>
      <c r="E130" s="451"/>
    </row>
    <row r="131" spans="1:6" ht="17.399999999999999">
      <c r="A131" s="516" t="s">
        <v>599</v>
      </c>
      <c r="B131" s="420">
        <v>26927</v>
      </c>
      <c r="C131" s="319">
        <v>7.2999999999999995E-2</v>
      </c>
      <c r="D131" s="311">
        <f t="shared" si="6"/>
        <v>0.11106894631550725</v>
      </c>
      <c r="E131" s="451"/>
    </row>
    <row r="132" spans="1:6" ht="17.399999999999999">
      <c r="A132" s="523" t="s">
        <v>600</v>
      </c>
      <c r="B132" s="419">
        <v>20209</v>
      </c>
      <c r="C132" s="318">
        <v>5.4000000000000006E-2</v>
      </c>
      <c r="D132" s="315">
        <f t="shared" si="6"/>
        <v>8.3358425969847591E-2</v>
      </c>
      <c r="E132" s="451"/>
    </row>
    <row r="133" spans="1:6" ht="17.399999999999999">
      <c r="A133" s="516" t="s">
        <v>601</v>
      </c>
      <c r="B133" s="420">
        <v>16435</v>
      </c>
      <c r="C133" s="319">
        <v>4.4000000000000004E-2</v>
      </c>
      <c r="D133" s="311">
        <f t="shared" si="6"/>
        <v>6.7791366758100116E-2</v>
      </c>
      <c r="E133" s="451"/>
    </row>
    <row r="134" spans="1:6" ht="17.399999999999999">
      <c r="A134" s="523" t="s">
        <v>602</v>
      </c>
      <c r="B134" s="419">
        <v>15606</v>
      </c>
      <c r="C134" s="318">
        <v>4.2000000000000003E-2</v>
      </c>
      <c r="D134" s="315">
        <f t="shared" si="6"/>
        <v>6.4371893497226065E-2</v>
      </c>
      <c r="E134" s="451"/>
    </row>
    <row r="135" spans="1:6" ht="17.399999999999999">
      <c r="A135" s="516" t="s">
        <v>603</v>
      </c>
      <c r="B135" s="420">
        <v>15401</v>
      </c>
      <c r="C135" s="319">
        <v>4.2000000000000003E-2</v>
      </c>
      <c r="D135" s="311">
        <f t="shared" si="6"/>
        <v>6.3526306020170356E-2</v>
      </c>
      <c r="E135" s="451"/>
    </row>
    <row r="136" spans="1:6" ht="18" thickBot="1">
      <c r="A136" s="524" t="s">
        <v>604</v>
      </c>
      <c r="B136" s="422">
        <v>7720</v>
      </c>
      <c r="C136" s="320">
        <v>2.1000000000000001E-2</v>
      </c>
      <c r="D136" s="310">
        <f t="shared" si="6"/>
        <v>3.1843586940829498E-2</v>
      </c>
      <c r="E136" s="451"/>
    </row>
    <row r="137" spans="1:6">
      <c r="A137" s="505" t="s">
        <v>56</v>
      </c>
      <c r="B137" s="114">
        <f>SUM(B129:B136)</f>
        <v>242435</v>
      </c>
      <c r="C137" s="319"/>
      <c r="D137" s="311">
        <f t="shared" si="6"/>
        <v>1</v>
      </c>
    </row>
    <row r="138" spans="1:6">
      <c r="A138" s="505" t="s">
        <v>1</v>
      </c>
      <c r="B138" s="114">
        <v>128343</v>
      </c>
      <c r="C138" s="319">
        <v>0.34600000000000003</v>
      </c>
      <c r="D138" s="312"/>
    </row>
    <row r="139" spans="1:6">
      <c r="A139" s="506" t="s">
        <v>78</v>
      </c>
      <c r="B139" s="115">
        <v>255</v>
      </c>
      <c r="C139" s="321">
        <v>1E-3</v>
      </c>
      <c r="D139" s="314"/>
    </row>
    <row r="142" spans="1:6" ht="32.4">
      <c r="A142" s="535" t="s">
        <v>36</v>
      </c>
      <c r="B142" s="80" t="s">
        <v>4</v>
      </c>
      <c r="C142" s="102" t="s">
        <v>149</v>
      </c>
      <c r="D142" s="103" t="s">
        <v>148</v>
      </c>
      <c r="F142" s="56"/>
    </row>
    <row r="143" spans="1:6" ht="17.399999999999999">
      <c r="A143" s="516" t="s">
        <v>204</v>
      </c>
      <c r="B143" s="418">
        <v>58264</v>
      </c>
      <c r="C143" s="285">
        <v>0.157</v>
      </c>
      <c r="D143" s="308">
        <f>B143/249833</f>
        <v>0.23321178547269575</v>
      </c>
      <c r="E143" s="451"/>
    </row>
    <row r="144" spans="1:6" ht="17.399999999999999">
      <c r="A144" s="523" t="s">
        <v>521</v>
      </c>
      <c r="B144" s="419">
        <v>47268</v>
      </c>
      <c r="C144" s="286">
        <v>0.128</v>
      </c>
      <c r="D144" s="315">
        <f t="shared" ref="D144:D163" si="7">B144/249833</f>
        <v>0.18919838452085994</v>
      </c>
      <c r="E144" s="451"/>
    </row>
    <row r="145" spans="1:5" ht="17.399999999999999">
      <c r="A145" s="516" t="s">
        <v>605</v>
      </c>
      <c r="B145" s="420">
        <v>27380</v>
      </c>
      <c r="C145" s="287">
        <v>7.400000000000001E-2</v>
      </c>
      <c r="D145" s="311">
        <f t="shared" si="7"/>
        <v>0.10959320826311976</v>
      </c>
      <c r="E145" s="451"/>
    </row>
    <row r="146" spans="1:5" ht="17.399999999999999">
      <c r="A146" s="523" t="s">
        <v>606</v>
      </c>
      <c r="B146" s="419">
        <v>18115</v>
      </c>
      <c r="C146" s="286">
        <v>4.9000000000000002E-2</v>
      </c>
      <c r="D146" s="315">
        <f t="shared" si="7"/>
        <v>7.2508435635004184E-2</v>
      </c>
      <c r="E146" s="451"/>
    </row>
    <row r="147" spans="1:5" ht="17.399999999999999">
      <c r="A147" s="516" t="s">
        <v>607</v>
      </c>
      <c r="B147" s="420">
        <v>13070</v>
      </c>
      <c r="C147" s="287">
        <v>3.5000000000000003E-2</v>
      </c>
      <c r="D147" s="311">
        <f t="shared" si="7"/>
        <v>5.2314946384184637E-2</v>
      </c>
      <c r="E147" s="451"/>
    </row>
    <row r="148" spans="1:5" ht="17.399999999999999">
      <c r="A148" s="523" t="s">
        <v>608</v>
      </c>
      <c r="B148" s="419">
        <v>11381</v>
      </c>
      <c r="C148" s="286">
        <v>3.1E-2</v>
      </c>
      <c r="D148" s="315">
        <f t="shared" si="7"/>
        <v>4.5554430359480133E-2</v>
      </c>
      <c r="E148" s="451"/>
    </row>
    <row r="149" spans="1:5" ht="17.399999999999999">
      <c r="A149" s="516" t="s">
        <v>609</v>
      </c>
      <c r="B149" s="420">
        <v>11013</v>
      </c>
      <c r="C149" s="287">
        <v>0.03</v>
      </c>
      <c r="D149" s="311">
        <f t="shared" si="7"/>
        <v>4.4081446406199341E-2</v>
      </c>
      <c r="E149" s="451"/>
    </row>
    <row r="150" spans="1:5" ht="17.399999999999999">
      <c r="A150" s="523" t="s">
        <v>610</v>
      </c>
      <c r="B150" s="419">
        <v>10580</v>
      </c>
      <c r="C150" s="286">
        <v>2.8999999999999998E-2</v>
      </c>
      <c r="D150" s="315">
        <f t="shared" si="7"/>
        <v>4.2348288656822761E-2</v>
      </c>
      <c r="E150" s="451"/>
    </row>
    <row r="151" spans="1:5" ht="17.399999999999999">
      <c r="A151" s="516" t="s">
        <v>611</v>
      </c>
      <c r="B151" s="420">
        <v>10211</v>
      </c>
      <c r="C151" s="287">
        <v>2.7999999999999997E-2</v>
      </c>
      <c r="D151" s="311">
        <f t="shared" si="7"/>
        <v>4.0871302029755877E-2</v>
      </c>
      <c r="E151" s="451"/>
    </row>
    <row r="152" spans="1:5" ht="17.399999999999999">
      <c r="A152" s="523" t="s">
        <v>612</v>
      </c>
      <c r="B152" s="419">
        <v>7558</v>
      </c>
      <c r="C152" s="286">
        <v>0.02</v>
      </c>
      <c r="D152" s="315">
        <f t="shared" si="7"/>
        <v>3.0252208475261475E-2</v>
      </c>
      <c r="E152" s="451"/>
    </row>
    <row r="153" spans="1:5" ht="17.399999999999999">
      <c r="A153" s="516" t="s">
        <v>613</v>
      </c>
      <c r="B153" s="420">
        <v>7030</v>
      </c>
      <c r="C153" s="287">
        <v>1.9E-2</v>
      </c>
      <c r="D153" s="311">
        <f t="shared" si="7"/>
        <v>2.8138796716206425E-2</v>
      </c>
      <c r="E153" s="451"/>
    </row>
    <row r="154" spans="1:5" ht="17.399999999999999">
      <c r="A154" s="523" t="s">
        <v>614</v>
      </c>
      <c r="B154" s="419">
        <v>5658</v>
      </c>
      <c r="C154" s="286">
        <v>1.4999999999999999E-2</v>
      </c>
      <c r="D154" s="315">
        <f t="shared" si="7"/>
        <v>2.2647128281692172E-2</v>
      </c>
      <c r="E154" s="451"/>
    </row>
    <row r="155" spans="1:5" ht="17.399999999999999">
      <c r="A155" s="516" t="s">
        <v>615</v>
      </c>
      <c r="B155" s="420">
        <v>4767</v>
      </c>
      <c r="C155" s="287">
        <v>1.3000000000000001E-2</v>
      </c>
      <c r="D155" s="311">
        <f t="shared" si="7"/>
        <v>1.9080745938286774E-2</v>
      </c>
      <c r="E155" s="451"/>
    </row>
    <row r="156" spans="1:5" ht="17.399999999999999">
      <c r="A156" s="523" t="s">
        <v>514</v>
      </c>
      <c r="B156" s="419">
        <v>4473</v>
      </c>
      <c r="C156" s="286">
        <v>1.2E-2</v>
      </c>
      <c r="D156" s="315">
        <f t="shared" si="7"/>
        <v>1.7903959845176579E-2</v>
      </c>
      <c r="E156" s="451"/>
    </row>
    <row r="157" spans="1:5" ht="17.399999999999999">
      <c r="A157" s="516" t="s">
        <v>616</v>
      </c>
      <c r="B157" s="420">
        <v>2457</v>
      </c>
      <c r="C157" s="287">
        <v>6.9999999999999993E-3</v>
      </c>
      <c r="D157" s="311">
        <f t="shared" si="7"/>
        <v>9.834569492420937E-3</v>
      </c>
      <c r="E157" s="451"/>
    </row>
    <row r="158" spans="1:5" ht="17.399999999999999">
      <c r="A158" s="523" t="s">
        <v>617</v>
      </c>
      <c r="B158" s="419">
        <v>2423</v>
      </c>
      <c r="C158" s="286">
        <v>6.9999999999999993E-3</v>
      </c>
      <c r="D158" s="315">
        <f t="shared" si="7"/>
        <v>9.6984785836939074E-3</v>
      </c>
      <c r="E158" s="451"/>
    </row>
    <row r="159" spans="1:5" ht="17.399999999999999">
      <c r="A159" s="516" t="s">
        <v>618</v>
      </c>
      <c r="B159" s="420">
        <v>2360</v>
      </c>
      <c r="C159" s="287">
        <v>6.0000000000000001E-3</v>
      </c>
      <c r="D159" s="311">
        <f t="shared" si="7"/>
        <v>9.4463101351702945E-3</v>
      </c>
      <c r="E159" s="451"/>
    </row>
    <row r="160" spans="1:5" ht="17.399999999999999">
      <c r="A160" s="523" t="s">
        <v>619</v>
      </c>
      <c r="B160" s="419">
        <v>2316</v>
      </c>
      <c r="C160" s="286">
        <v>6.0000000000000001E-3</v>
      </c>
      <c r="D160" s="315">
        <f t="shared" si="7"/>
        <v>9.2701924885823725E-3</v>
      </c>
      <c r="E160" s="451"/>
    </row>
    <row r="161" spans="1:5" ht="17.399999999999999">
      <c r="A161" s="516" t="s">
        <v>620</v>
      </c>
      <c r="B161" s="420">
        <v>2157</v>
      </c>
      <c r="C161" s="287">
        <v>6.0000000000000001E-3</v>
      </c>
      <c r="D161" s="311">
        <f t="shared" si="7"/>
        <v>8.6337673565942043E-3</v>
      </c>
      <c r="E161" s="451"/>
    </row>
    <row r="162" spans="1:5" ht="18" thickBot="1">
      <c r="A162" s="524" t="s">
        <v>507</v>
      </c>
      <c r="B162" s="422">
        <v>1352</v>
      </c>
      <c r="C162" s="309">
        <v>4.0000000000000001E-3</v>
      </c>
      <c r="D162" s="310">
        <f t="shared" si="7"/>
        <v>5.4116149587924737E-3</v>
      </c>
      <c r="E162" s="451"/>
    </row>
    <row r="163" spans="1:5">
      <c r="A163" s="505" t="s">
        <v>56</v>
      </c>
      <c r="B163" s="114">
        <f>SUM(B143:B162)</f>
        <v>249833</v>
      </c>
      <c r="C163" s="287"/>
      <c r="D163" s="311">
        <f t="shared" si="7"/>
        <v>1</v>
      </c>
    </row>
    <row r="164" spans="1:5">
      <c r="A164" s="505" t="s">
        <v>1</v>
      </c>
      <c r="B164" s="114">
        <v>117597</v>
      </c>
      <c r="C164" s="287">
        <v>0.317</v>
      </c>
      <c r="D164" s="312"/>
    </row>
    <row r="165" spans="1:5">
      <c r="A165" s="506" t="s">
        <v>78</v>
      </c>
      <c r="B165" s="115">
        <v>3082</v>
      </c>
      <c r="C165" s="313">
        <v>8.0000000000000002E-3</v>
      </c>
      <c r="D165" s="314"/>
    </row>
    <row r="167" spans="1:5" ht="38.25" customHeight="1">
      <c r="A167" s="704" t="s">
        <v>128</v>
      </c>
      <c r="B167" s="704"/>
      <c r="C167" s="704"/>
      <c r="D167" s="704"/>
    </row>
  </sheetData>
  <mergeCells count="20">
    <mergeCell ref="A19:D19"/>
    <mergeCell ref="A20:D20"/>
    <mergeCell ref="A21:D21"/>
    <mergeCell ref="A14:D14"/>
    <mergeCell ref="A15:D15"/>
    <mergeCell ref="A16:D16"/>
    <mergeCell ref="A17:D17"/>
    <mergeCell ref="A18:D18"/>
    <mergeCell ref="A11:D11"/>
    <mergeCell ref="A2:D2"/>
    <mergeCell ref="A8:D8"/>
    <mergeCell ref="A5:D5"/>
    <mergeCell ref="A13:D13"/>
    <mergeCell ref="A22:D22"/>
    <mergeCell ref="A23:D23"/>
    <mergeCell ref="A167:D167"/>
    <mergeCell ref="A26:D26"/>
    <mergeCell ref="A25:D25"/>
    <mergeCell ref="A27:D27"/>
    <mergeCell ref="A24:D24"/>
  </mergeCells>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72"/>
  <sheetViews>
    <sheetView workbookViewId="0">
      <selection activeCell="C10" sqref="C10"/>
    </sheetView>
  </sheetViews>
  <sheetFormatPr defaultColWidth="9" defaultRowHeight="13.8"/>
  <cols>
    <col min="1" max="1" width="36" style="515" customWidth="1"/>
    <col min="2" max="2" width="10.59765625" style="111" customWidth="1"/>
    <col min="3" max="3" width="10.59765625" style="274" customWidth="1"/>
    <col min="4" max="4" width="10.59765625" style="239" customWidth="1"/>
    <col min="5" max="16384" width="9" style="3"/>
  </cols>
  <sheetData>
    <row r="2" spans="1:6" ht="29.25" customHeight="1">
      <c r="A2" s="718" t="s">
        <v>98</v>
      </c>
      <c r="B2" s="719"/>
      <c r="C2" s="719"/>
      <c r="D2" s="720"/>
    </row>
    <row r="3" spans="1:6">
      <c r="A3" s="509" t="s">
        <v>19</v>
      </c>
    </row>
    <row r="5" spans="1:6" ht="30" customHeight="1">
      <c r="A5" s="708" t="s">
        <v>57</v>
      </c>
      <c r="B5" s="708"/>
      <c r="C5" s="708"/>
      <c r="D5" s="708"/>
    </row>
    <row r="6" spans="1:6">
      <c r="A6" s="512"/>
    </row>
    <row r="8" spans="1:6" ht="30" customHeight="1">
      <c r="A8" s="701" t="s">
        <v>99</v>
      </c>
      <c r="B8" s="702"/>
      <c r="C8" s="702"/>
      <c r="D8" s="703"/>
    </row>
    <row r="9" spans="1:6">
      <c r="A9" s="509" t="s">
        <v>18</v>
      </c>
    </row>
    <row r="10" spans="1:6">
      <c r="A10" s="509"/>
    </row>
    <row r="11" spans="1:6">
      <c r="A11" s="536" t="s">
        <v>69</v>
      </c>
      <c r="B11" s="127">
        <v>100163</v>
      </c>
      <c r="C11" s="240"/>
      <c r="D11" s="240"/>
    </row>
    <row r="12" spans="1:6">
      <c r="A12" s="537" t="s">
        <v>68</v>
      </c>
      <c r="B12" s="128">
        <v>64806</v>
      </c>
      <c r="C12" s="301">
        <v>0.64700000000000002</v>
      </c>
      <c r="D12" s="241"/>
    </row>
    <row r="13" spans="1:6" ht="30" customHeight="1">
      <c r="A13" s="736" t="s">
        <v>150</v>
      </c>
      <c r="B13" s="736"/>
      <c r="C13" s="736"/>
      <c r="D13" s="736"/>
    </row>
    <row r="14" spans="1:6">
      <c r="A14" s="509"/>
    </row>
    <row r="16" spans="1:6" ht="32.4">
      <c r="A16" s="513" t="s">
        <v>8</v>
      </c>
      <c r="B16" s="80" t="s">
        <v>4</v>
      </c>
      <c r="C16" s="102" t="s">
        <v>149</v>
      </c>
      <c r="D16" s="103" t="s">
        <v>148</v>
      </c>
      <c r="F16" s="56"/>
    </row>
    <row r="17" spans="1:6" ht="17.399999999999999">
      <c r="A17" s="516" t="s">
        <v>212</v>
      </c>
      <c r="B17" s="449">
        <v>22751</v>
      </c>
      <c r="C17" s="302">
        <v>0.35100000000000003</v>
      </c>
      <c r="D17" s="303">
        <f t="shared" ref="D17:D23" si="0">B17/60323</f>
        <v>0.37715299305405897</v>
      </c>
      <c r="E17" s="451"/>
    </row>
    <row r="18" spans="1:6" ht="17.399999999999999">
      <c r="A18" s="523" t="s">
        <v>205</v>
      </c>
      <c r="B18" s="376">
        <v>15720</v>
      </c>
      <c r="C18" s="304">
        <v>0.24299999999999999</v>
      </c>
      <c r="D18" s="245">
        <f t="shared" si="0"/>
        <v>0.26059711884355885</v>
      </c>
      <c r="E18" s="451"/>
    </row>
    <row r="19" spans="1:6" ht="17.399999999999999">
      <c r="A19" s="516" t="s">
        <v>510</v>
      </c>
      <c r="B19" s="449">
        <v>8032</v>
      </c>
      <c r="C19" s="302">
        <v>0.124</v>
      </c>
      <c r="D19" s="303">
        <f t="shared" si="0"/>
        <v>0.13314987649818477</v>
      </c>
      <c r="E19" s="451"/>
    </row>
    <row r="20" spans="1:6" ht="17.399999999999999">
      <c r="A20" s="523" t="s">
        <v>511</v>
      </c>
      <c r="B20" s="376">
        <v>4992</v>
      </c>
      <c r="C20" s="304">
        <v>7.6999999999999999E-2</v>
      </c>
      <c r="D20" s="245">
        <f t="shared" si="0"/>
        <v>8.2754504915206473E-2</v>
      </c>
      <c r="E20" s="451"/>
    </row>
    <row r="21" spans="1:6" ht="17.399999999999999">
      <c r="A21" s="516" t="s">
        <v>512</v>
      </c>
      <c r="B21" s="449">
        <v>4731</v>
      </c>
      <c r="C21" s="302">
        <v>7.2999999999999995E-2</v>
      </c>
      <c r="D21" s="303">
        <f t="shared" si="0"/>
        <v>7.8427797026009979E-2</v>
      </c>
      <c r="E21" s="451"/>
    </row>
    <row r="22" spans="1:6" ht="17.399999999999999">
      <c r="A22" s="523" t="s">
        <v>513</v>
      </c>
      <c r="B22" s="376">
        <v>2670</v>
      </c>
      <c r="C22" s="304">
        <v>4.0999999999999995E-2</v>
      </c>
      <c r="D22" s="245">
        <f t="shared" si="0"/>
        <v>4.4261724383734234E-2</v>
      </c>
      <c r="E22" s="451"/>
    </row>
    <row r="23" spans="1:6" ht="18" thickBot="1">
      <c r="A23" s="518" t="s">
        <v>514</v>
      </c>
      <c r="B23" s="378">
        <v>1427</v>
      </c>
      <c r="C23" s="305">
        <v>2.2000000000000002E-2</v>
      </c>
      <c r="D23" s="256">
        <f t="shared" si="0"/>
        <v>2.365598527924672E-2</v>
      </c>
      <c r="E23" s="451"/>
    </row>
    <row r="24" spans="1:6">
      <c r="A24" s="505" t="s">
        <v>56</v>
      </c>
      <c r="B24" s="122">
        <f>SUM(B17:B23)</f>
        <v>60323</v>
      </c>
      <c r="C24" s="297"/>
      <c r="D24" s="247">
        <f t="shared" ref="D24" si="1">B24/60323</f>
        <v>1</v>
      </c>
    </row>
    <row r="25" spans="1:6">
      <c r="A25" s="505" t="s">
        <v>1</v>
      </c>
      <c r="B25" s="122">
        <v>4075</v>
      </c>
      <c r="C25" s="297">
        <v>6.3E-2</v>
      </c>
      <c r="D25" s="251"/>
    </row>
    <row r="26" spans="1:6">
      <c r="A26" s="506" t="s">
        <v>78</v>
      </c>
      <c r="B26" s="126">
        <v>408</v>
      </c>
      <c r="C26" s="299">
        <v>6.0000000000000001E-3</v>
      </c>
      <c r="D26" s="253"/>
    </row>
    <row r="29" spans="1:6" ht="32.4">
      <c r="A29" s="528" t="s">
        <v>3</v>
      </c>
      <c r="B29" s="80" t="s">
        <v>4</v>
      </c>
      <c r="C29" s="102" t="s">
        <v>149</v>
      </c>
      <c r="D29" s="103" t="s">
        <v>148</v>
      </c>
      <c r="F29" s="56"/>
    </row>
    <row r="30" spans="1:6" ht="17.399999999999999">
      <c r="A30" s="516" t="s">
        <v>227</v>
      </c>
      <c r="B30" s="445">
        <v>13502</v>
      </c>
      <c r="C30" s="302">
        <v>0.20800000000000002</v>
      </c>
      <c r="D30" s="303">
        <f t="shared" ref="D30:D35" si="2">B30/56003</f>
        <v>0.24109422709497705</v>
      </c>
      <c r="E30" s="451"/>
    </row>
    <row r="31" spans="1:6" ht="17.399999999999999">
      <c r="A31" s="531" t="s">
        <v>515</v>
      </c>
      <c r="B31" s="446">
        <v>10523</v>
      </c>
      <c r="C31" s="304">
        <v>0.16200000000000001</v>
      </c>
      <c r="D31" s="245">
        <f t="shared" si="2"/>
        <v>0.18790064817956181</v>
      </c>
      <c r="E31" s="451"/>
    </row>
    <row r="32" spans="1:6" ht="17.399999999999999">
      <c r="A32" s="516" t="s">
        <v>516</v>
      </c>
      <c r="B32" s="445">
        <v>10127</v>
      </c>
      <c r="C32" s="302">
        <v>0.156</v>
      </c>
      <c r="D32" s="303">
        <f t="shared" si="2"/>
        <v>0.18082959841437066</v>
      </c>
      <c r="E32" s="451"/>
    </row>
    <row r="33" spans="1:6" ht="17.399999999999999">
      <c r="A33" s="531" t="s">
        <v>235</v>
      </c>
      <c r="B33" s="446">
        <v>7977</v>
      </c>
      <c r="C33" s="304">
        <v>0.12300000000000001</v>
      </c>
      <c r="D33" s="245">
        <f t="shared" si="2"/>
        <v>0.14243879792153991</v>
      </c>
      <c r="E33" s="451"/>
    </row>
    <row r="34" spans="1:6" ht="17.399999999999999">
      <c r="A34" s="516" t="s">
        <v>517</v>
      </c>
      <c r="B34" s="445">
        <v>7442</v>
      </c>
      <c r="C34" s="302">
        <v>0.115</v>
      </c>
      <c r="D34" s="303">
        <f t="shared" si="2"/>
        <v>0.13288573826402156</v>
      </c>
      <c r="E34" s="451"/>
    </row>
    <row r="35" spans="1:6" ht="18" thickBot="1">
      <c r="A35" s="532" t="s">
        <v>518</v>
      </c>
      <c r="B35" s="448">
        <v>6432</v>
      </c>
      <c r="C35" s="306">
        <v>9.9000000000000005E-2</v>
      </c>
      <c r="D35" s="250">
        <f t="shared" si="2"/>
        <v>0.11485099012552899</v>
      </c>
      <c r="E35" s="451"/>
    </row>
    <row r="36" spans="1:6">
      <c r="A36" s="505" t="s">
        <v>56</v>
      </c>
      <c r="B36" s="122">
        <f>SUM(B30:B35)</f>
        <v>56003</v>
      </c>
      <c r="C36" s="297"/>
      <c r="D36" s="247">
        <f t="shared" ref="D36" si="3">B36/56003</f>
        <v>1</v>
      </c>
    </row>
    <row r="37" spans="1:6">
      <c r="A37" s="505" t="s">
        <v>1</v>
      </c>
      <c r="B37" s="122">
        <v>8423</v>
      </c>
      <c r="C37" s="297">
        <v>0.13</v>
      </c>
      <c r="D37" s="251"/>
    </row>
    <row r="38" spans="1:6">
      <c r="A38" s="506" t="s">
        <v>78</v>
      </c>
      <c r="B38" s="126">
        <v>380</v>
      </c>
      <c r="C38" s="299">
        <v>6.0000000000000001E-3</v>
      </c>
      <c r="D38" s="253"/>
    </row>
    <row r="41" spans="1:6" ht="32.4">
      <c r="A41" s="513" t="s">
        <v>9</v>
      </c>
      <c r="B41" s="80" t="s">
        <v>4</v>
      </c>
      <c r="C41" s="102" t="s">
        <v>149</v>
      </c>
      <c r="D41" s="103" t="s">
        <v>148</v>
      </c>
      <c r="F41" s="56"/>
    </row>
    <row r="42" spans="1:6" ht="17.399999999999999">
      <c r="A42" s="516" t="s">
        <v>519</v>
      </c>
      <c r="B42" s="445">
        <v>29656</v>
      </c>
      <c r="C42" s="307">
        <v>0.153</v>
      </c>
      <c r="D42" s="303">
        <f t="shared" ref="D42:D66" si="4">B42/167552</f>
        <v>0.17699579831932774</v>
      </c>
      <c r="E42" s="451"/>
    </row>
    <row r="43" spans="1:6" ht="17.399999999999999">
      <c r="A43" s="523" t="s">
        <v>224</v>
      </c>
      <c r="B43" s="446">
        <v>20806</v>
      </c>
      <c r="C43" s="296">
        <v>0.107</v>
      </c>
      <c r="D43" s="245">
        <f t="shared" si="4"/>
        <v>0.12417637509549274</v>
      </c>
      <c r="E43" s="451"/>
    </row>
    <row r="44" spans="1:6" ht="17.399999999999999">
      <c r="A44" s="516" t="s">
        <v>271</v>
      </c>
      <c r="B44" s="445">
        <v>20107</v>
      </c>
      <c r="C44" s="307">
        <v>0.10300000000000001</v>
      </c>
      <c r="D44" s="303">
        <f t="shared" si="4"/>
        <v>0.1200045359052712</v>
      </c>
      <c r="E44" s="451"/>
    </row>
    <row r="45" spans="1:6" ht="17.399999999999999">
      <c r="A45" s="523" t="s">
        <v>520</v>
      </c>
      <c r="B45" s="446">
        <v>12346</v>
      </c>
      <c r="C45" s="296">
        <v>6.4000000000000001E-2</v>
      </c>
      <c r="D45" s="245">
        <f t="shared" si="4"/>
        <v>7.3684587471352175E-2</v>
      </c>
      <c r="E45" s="451"/>
    </row>
    <row r="46" spans="1:6" ht="17.399999999999999">
      <c r="A46" s="516" t="s">
        <v>521</v>
      </c>
      <c r="B46" s="445">
        <v>9839</v>
      </c>
      <c r="C46" s="307">
        <v>5.0999999999999997E-2</v>
      </c>
      <c r="D46" s="303">
        <f t="shared" si="4"/>
        <v>5.8722068372803665E-2</v>
      </c>
      <c r="E46" s="451"/>
    </row>
    <row r="47" spans="1:6" ht="17.399999999999999">
      <c r="A47" s="523" t="s">
        <v>522</v>
      </c>
      <c r="B47" s="446">
        <v>9226</v>
      </c>
      <c r="C47" s="296">
        <v>4.7E-2</v>
      </c>
      <c r="D47" s="245">
        <f t="shared" si="4"/>
        <v>5.5063502673796789E-2</v>
      </c>
      <c r="E47" s="451"/>
    </row>
    <row r="48" spans="1:6" ht="17.399999999999999">
      <c r="A48" s="516" t="s">
        <v>523</v>
      </c>
      <c r="B48" s="445">
        <v>7482</v>
      </c>
      <c r="C48" s="307">
        <v>3.7999999999999999E-2</v>
      </c>
      <c r="D48" s="303">
        <f t="shared" si="4"/>
        <v>4.4654793735676088E-2</v>
      </c>
      <c r="E48" s="451"/>
    </row>
    <row r="49" spans="1:5" ht="17.399999999999999">
      <c r="A49" s="523" t="s">
        <v>524</v>
      </c>
      <c r="B49" s="446">
        <v>7232</v>
      </c>
      <c r="C49" s="296">
        <v>3.7000000000000005E-2</v>
      </c>
      <c r="D49" s="245">
        <f t="shared" si="4"/>
        <v>4.3162719633307867E-2</v>
      </c>
      <c r="E49" s="451"/>
    </row>
    <row r="50" spans="1:5" ht="17.399999999999999">
      <c r="A50" s="516" t="s">
        <v>525</v>
      </c>
      <c r="B50" s="445">
        <v>6464</v>
      </c>
      <c r="C50" s="307">
        <v>3.3000000000000002E-2</v>
      </c>
      <c r="D50" s="303">
        <f t="shared" si="4"/>
        <v>3.8579067990832695E-2</v>
      </c>
      <c r="E50" s="451"/>
    </row>
    <row r="51" spans="1:5" ht="17.399999999999999">
      <c r="A51" s="523" t="s">
        <v>526</v>
      </c>
      <c r="B51" s="446">
        <v>5596</v>
      </c>
      <c r="C51" s="296">
        <v>2.8999999999999998E-2</v>
      </c>
      <c r="D51" s="245">
        <f t="shared" si="4"/>
        <v>3.3398586707410235E-2</v>
      </c>
      <c r="E51" s="451"/>
    </row>
    <row r="52" spans="1:5" ht="17.399999999999999">
      <c r="A52" s="516" t="s">
        <v>527</v>
      </c>
      <c r="B52" s="445">
        <v>5030</v>
      </c>
      <c r="C52" s="307">
        <v>2.6000000000000002E-2</v>
      </c>
      <c r="D52" s="303">
        <f t="shared" si="4"/>
        <v>3.0020530939648588E-2</v>
      </c>
      <c r="E52" s="451"/>
    </row>
    <row r="53" spans="1:5" ht="17.399999999999999">
      <c r="A53" s="523" t="s">
        <v>528</v>
      </c>
      <c r="B53" s="446">
        <v>3942</v>
      </c>
      <c r="C53" s="296">
        <v>0.02</v>
      </c>
      <c r="D53" s="245">
        <f t="shared" si="4"/>
        <v>2.3527024446142093E-2</v>
      </c>
      <c r="E53" s="451"/>
    </row>
    <row r="54" spans="1:5" ht="17.399999999999999">
      <c r="A54" s="516" t="s">
        <v>529</v>
      </c>
      <c r="B54" s="445">
        <v>3835</v>
      </c>
      <c r="C54" s="307">
        <v>0.02</v>
      </c>
      <c r="D54" s="303">
        <f t="shared" si="4"/>
        <v>2.2888416730328494E-2</v>
      </c>
      <c r="E54" s="451"/>
    </row>
    <row r="55" spans="1:5" ht="17.399999999999999">
      <c r="A55" s="523" t="s">
        <v>530</v>
      </c>
      <c r="B55" s="446">
        <v>3397</v>
      </c>
      <c r="C55" s="296">
        <v>1.7000000000000001E-2</v>
      </c>
      <c r="D55" s="245">
        <f t="shared" si="4"/>
        <v>2.0274302902979373E-2</v>
      </c>
      <c r="E55" s="451"/>
    </row>
    <row r="56" spans="1:5" ht="17.399999999999999">
      <c r="A56" s="516" t="s">
        <v>374</v>
      </c>
      <c r="B56" s="445">
        <v>2918</v>
      </c>
      <c r="C56" s="307">
        <v>1.4999999999999999E-2</v>
      </c>
      <c r="D56" s="303">
        <f t="shared" si="4"/>
        <v>1.7415488922841865E-2</v>
      </c>
      <c r="E56" s="451"/>
    </row>
    <row r="57" spans="1:5" ht="17.399999999999999">
      <c r="A57" s="523" t="s">
        <v>531</v>
      </c>
      <c r="B57" s="446">
        <v>2716</v>
      </c>
      <c r="C57" s="296">
        <v>1.3999999999999999E-2</v>
      </c>
      <c r="D57" s="245">
        <f t="shared" si="4"/>
        <v>1.6209893048128341E-2</v>
      </c>
      <c r="E57" s="451"/>
    </row>
    <row r="58" spans="1:5" ht="17.399999999999999">
      <c r="A58" s="516" t="s">
        <v>532</v>
      </c>
      <c r="B58" s="445">
        <v>2694</v>
      </c>
      <c r="C58" s="307">
        <v>1.3999999999999999E-2</v>
      </c>
      <c r="D58" s="303">
        <f t="shared" si="4"/>
        <v>1.6078590527119938E-2</v>
      </c>
      <c r="E58" s="451"/>
    </row>
    <row r="59" spans="1:5" ht="17.399999999999999">
      <c r="A59" s="523" t="s">
        <v>533</v>
      </c>
      <c r="B59" s="446">
        <v>2563</v>
      </c>
      <c r="C59" s="296">
        <v>1.3000000000000001E-2</v>
      </c>
      <c r="D59" s="245">
        <f t="shared" si="4"/>
        <v>1.5296743697478991E-2</v>
      </c>
      <c r="E59" s="451"/>
    </row>
    <row r="60" spans="1:5" ht="17.399999999999999">
      <c r="A60" s="516" t="s">
        <v>534</v>
      </c>
      <c r="B60" s="445">
        <v>2500</v>
      </c>
      <c r="C60" s="307">
        <v>1.3000000000000001E-2</v>
      </c>
      <c r="D60" s="303">
        <f t="shared" si="4"/>
        <v>1.49207410236822E-2</v>
      </c>
      <c r="E60" s="451"/>
    </row>
    <row r="61" spans="1:5" ht="17.399999999999999">
      <c r="A61" s="523" t="s">
        <v>535</v>
      </c>
      <c r="B61" s="446">
        <v>2242</v>
      </c>
      <c r="C61" s="296">
        <v>1.2E-2</v>
      </c>
      <c r="D61" s="245">
        <f t="shared" si="4"/>
        <v>1.3380920550038197E-2</v>
      </c>
      <c r="E61" s="451"/>
    </row>
    <row r="62" spans="1:5" ht="17.399999999999999">
      <c r="A62" s="516" t="s">
        <v>536</v>
      </c>
      <c r="B62" s="445">
        <v>2132</v>
      </c>
      <c r="C62" s="307">
        <v>1.1000000000000001E-2</v>
      </c>
      <c r="D62" s="303">
        <f t="shared" si="4"/>
        <v>1.272440794499618E-2</v>
      </c>
      <c r="E62" s="451"/>
    </row>
    <row r="63" spans="1:5" ht="17.399999999999999">
      <c r="A63" s="523" t="s">
        <v>537</v>
      </c>
      <c r="B63" s="446">
        <v>1772</v>
      </c>
      <c r="C63" s="296">
        <v>9.0000000000000011E-3</v>
      </c>
      <c r="D63" s="245">
        <f t="shared" si="4"/>
        <v>1.0575821237585943E-2</v>
      </c>
      <c r="E63" s="451"/>
    </row>
    <row r="64" spans="1:5" ht="17.399999999999999">
      <c r="A64" s="516" t="s">
        <v>538</v>
      </c>
      <c r="B64" s="445">
        <v>1645</v>
      </c>
      <c r="C64" s="307">
        <v>8.0000000000000002E-3</v>
      </c>
      <c r="D64" s="303">
        <f t="shared" si="4"/>
        <v>9.817847593582887E-3</v>
      </c>
      <c r="E64" s="451"/>
    </row>
    <row r="65" spans="1:5" ht="17.399999999999999">
      <c r="A65" s="523" t="s">
        <v>539</v>
      </c>
      <c r="B65" s="446">
        <v>963</v>
      </c>
      <c r="C65" s="296">
        <v>5.0000000000000001E-3</v>
      </c>
      <c r="D65" s="245">
        <f t="shared" si="4"/>
        <v>5.7474694423223834E-3</v>
      </c>
      <c r="E65" s="451"/>
    </row>
    <row r="66" spans="1:5" ht="18" thickBot="1">
      <c r="A66" s="518" t="s">
        <v>260</v>
      </c>
      <c r="B66" s="447">
        <v>449</v>
      </c>
      <c r="C66" s="298">
        <v>2E-3</v>
      </c>
      <c r="D66" s="465">
        <f t="shared" si="4"/>
        <v>2.6797650878533233E-3</v>
      </c>
      <c r="E66" s="451"/>
    </row>
    <row r="67" spans="1:5">
      <c r="A67" s="505" t="s">
        <v>56</v>
      </c>
      <c r="B67" s="122">
        <f>SUM(B42:B66)</f>
        <v>167552</v>
      </c>
      <c r="C67" s="297"/>
      <c r="D67" s="247">
        <f t="shared" ref="D67" si="5">B67/167552</f>
        <v>1</v>
      </c>
    </row>
    <row r="68" spans="1:5">
      <c r="A68" s="505" t="s">
        <v>1</v>
      </c>
      <c r="B68" s="122">
        <v>25258</v>
      </c>
      <c r="C68" s="297">
        <v>0.13</v>
      </c>
      <c r="D68" s="251"/>
    </row>
    <row r="69" spans="1:5">
      <c r="A69" s="506" t="s">
        <v>78</v>
      </c>
      <c r="B69" s="126">
        <v>1608</v>
      </c>
      <c r="C69" s="299">
        <v>8.0000000000000002E-3</v>
      </c>
      <c r="D69" s="253"/>
    </row>
    <row r="72" spans="1:5" ht="38.25" customHeight="1">
      <c r="A72" s="687" t="s">
        <v>127</v>
      </c>
      <c r="B72" s="687"/>
      <c r="C72" s="687"/>
      <c r="D72" s="687"/>
    </row>
  </sheetData>
  <sortState ref="G42:J67">
    <sortCondition descending="1" ref="J42:J67"/>
  </sortState>
  <mergeCells count="5">
    <mergeCell ref="A5:D5"/>
    <mergeCell ref="A8:D8"/>
    <mergeCell ref="A2:D2"/>
    <mergeCell ref="A72:D72"/>
    <mergeCell ref="A13:D13"/>
  </mergeCells>
  <pageMargins left="0.7" right="0.7" top="0.75" bottom="0.75" header="0.3" footer="0.3"/>
  <pageSetup orientation="portrait" horizontalDpi="1200" verticalDpi="12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63"/>
  <sheetViews>
    <sheetView topLeftCell="A55" workbookViewId="0">
      <selection activeCell="A55" sqref="A1:A1048576"/>
    </sheetView>
  </sheetViews>
  <sheetFormatPr defaultColWidth="9" defaultRowHeight="13.8"/>
  <cols>
    <col min="1" max="1" width="35.59765625" style="515" customWidth="1"/>
    <col min="2" max="2" width="10.59765625" style="111" customWidth="1"/>
    <col min="3" max="3" width="10.59765625" style="274" customWidth="1"/>
    <col min="4" max="4" width="10.59765625" style="239" customWidth="1"/>
    <col min="5" max="16384" width="9" style="3"/>
  </cols>
  <sheetData>
    <row r="2" spans="1:7" ht="30" customHeight="1">
      <c r="A2" s="718" t="s">
        <v>97</v>
      </c>
      <c r="B2" s="719"/>
      <c r="C2" s="719"/>
      <c r="D2" s="720"/>
    </row>
    <row r="3" spans="1:7">
      <c r="A3" s="509" t="s">
        <v>16</v>
      </c>
    </row>
    <row r="5" spans="1:7" ht="29.25" customHeight="1">
      <c r="A5" s="708" t="s">
        <v>57</v>
      </c>
      <c r="B5" s="708"/>
      <c r="C5" s="708"/>
      <c r="D5" s="708"/>
    </row>
    <row r="6" spans="1:7" ht="14.1" customHeight="1">
      <c r="A6" s="512"/>
    </row>
    <row r="8" spans="1:7" ht="27" customHeight="1">
      <c r="A8" s="701" t="s">
        <v>96</v>
      </c>
      <c r="B8" s="702"/>
      <c r="C8" s="702"/>
      <c r="D8" s="703"/>
    </row>
    <row r="9" spans="1:7">
      <c r="A9" s="509" t="s">
        <v>17</v>
      </c>
    </row>
    <row r="10" spans="1:7">
      <c r="A10" s="509"/>
    </row>
    <row r="11" spans="1:7">
      <c r="A11" s="536" t="s">
        <v>69</v>
      </c>
      <c r="B11" s="129">
        <v>87298</v>
      </c>
      <c r="C11" s="240"/>
      <c r="D11" s="240"/>
    </row>
    <row r="12" spans="1:7">
      <c r="A12" s="537" t="s">
        <v>68</v>
      </c>
      <c r="B12" s="128">
        <v>52102</v>
      </c>
      <c r="C12" s="241">
        <v>0.59699999999999998</v>
      </c>
      <c r="D12" s="241"/>
      <c r="G12" s="17"/>
    </row>
    <row r="13" spans="1:7" ht="28.05" customHeight="1">
      <c r="A13" s="736" t="s">
        <v>150</v>
      </c>
      <c r="B13" s="736"/>
      <c r="C13" s="736"/>
      <c r="D13" s="736"/>
    </row>
    <row r="14" spans="1:7">
      <c r="A14" s="538"/>
      <c r="B14" s="130"/>
      <c r="C14" s="289"/>
      <c r="D14" s="289"/>
    </row>
    <row r="16" spans="1:7" ht="32.4">
      <c r="A16" s="525" t="s">
        <v>5</v>
      </c>
      <c r="B16" s="80" t="s">
        <v>4</v>
      </c>
      <c r="C16" s="102" t="s">
        <v>149</v>
      </c>
      <c r="D16" s="103" t="s">
        <v>148</v>
      </c>
      <c r="F16" s="56"/>
    </row>
    <row r="17" spans="1:6" ht="17.399999999999999">
      <c r="A17" s="539" t="s">
        <v>189</v>
      </c>
      <c r="B17" s="131">
        <v>16184</v>
      </c>
      <c r="C17" s="290">
        <v>0.311</v>
      </c>
      <c r="D17" s="243">
        <f>B17/45878</f>
        <v>0.35276167226121452</v>
      </c>
      <c r="E17" s="451"/>
    </row>
    <row r="18" spans="1:6" ht="17.399999999999999">
      <c r="A18" s="540" t="s">
        <v>190</v>
      </c>
      <c r="B18" s="132">
        <v>15541</v>
      </c>
      <c r="C18" s="291">
        <v>0.29799999999999999</v>
      </c>
      <c r="D18" s="245">
        <f t="shared" ref="D18:D20" si="0">B18/45878</f>
        <v>0.3387462400279001</v>
      </c>
      <c r="E18" s="451"/>
    </row>
    <row r="19" spans="1:6" ht="18" thickBot="1">
      <c r="A19" s="541" t="s">
        <v>191</v>
      </c>
      <c r="B19" s="133">
        <v>14153</v>
      </c>
      <c r="C19" s="292">
        <v>0.27200000000000002</v>
      </c>
      <c r="D19" s="256">
        <f t="shared" si="0"/>
        <v>0.30849208771088538</v>
      </c>
      <c r="E19" s="451"/>
    </row>
    <row r="20" spans="1:6">
      <c r="A20" s="505" t="s">
        <v>56</v>
      </c>
      <c r="B20" s="134">
        <f>SUM(B17:B19)</f>
        <v>45878</v>
      </c>
      <c r="C20" s="293"/>
      <c r="D20" s="247">
        <f t="shared" si="0"/>
        <v>1</v>
      </c>
    </row>
    <row r="21" spans="1:6">
      <c r="A21" s="505" t="s">
        <v>1</v>
      </c>
      <c r="B21" s="134">
        <v>6176</v>
      </c>
      <c r="C21" s="293">
        <v>0.11900000000000001</v>
      </c>
      <c r="D21" s="251"/>
    </row>
    <row r="22" spans="1:6">
      <c r="A22" s="506" t="s">
        <v>78</v>
      </c>
      <c r="B22" s="135">
        <v>48</v>
      </c>
      <c r="C22" s="294">
        <v>1E-3</v>
      </c>
      <c r="D22" s="253"/>
    </row>
    <row r="23" spans="1:6">
      <c r="A23" s="512"/>
    </row>
    <row r="25" spans="1:6" ht="32.4">
      <c r="A25" s="503" t="s">
        <v>2</v>
      </c>
      <c r="B25" s="80" t="s">
        <v>4</v>
      </c>
      <c r="C25" s="102" t="s">
        <v>149</v>
      </c>
      <c r="D25" s="103" t="s">
        <v>148</v>
      </c>
      <c r="F25" s="56"/>
    </row>
    <row r="26" spans="1:6" ht="17.399999999999999">
      <c r="A26" s="516" t="s">
        <v>192</v>
      </c>
      <c r="B26" s="127">
        <v>18275</v>
      </c>
      <c r="C26" s="295">
        <v>0.35100000000000003</v>
      </c>
      <c r="D26" s="243">
        <f>B26/45805</f>
        <v>0.39897391114507152</v>
      </c>
      <c r="E26" s="451"/>
    </row>
    <row r="27" spans="1:6" ht="17.399999999999999">
      <c r="A27" s="523" t="s">
        <v>193</v>
      </c>
      <c r="B27" s="376">
        <v>9994</v>
      </c>
      <c r="C27" s="296">
        <v>0.192</v>
      </c>
      <c r="D27" s="245">
        <f t="shared" ref="D27:D33" si="1">B27/45805</f>
        <v>0.21818578757777535</v>
      </c>
      <c r="E27" s="451"/>
    </row>
    <row r="28" spans="1:6" ht="17.399999999999999">
      <c r="A28" s="516" t="s">
        <v>194</v>
      </c>
      <c r="B28" s="377">
        <v>7210</v>
      </c>
      <c r="C28" s="297">
        <v>0.13800000000000001</v>
      </c>
      <c r="D28" s="247">
        <f t="shared" si="1"/>
        <v>0.15740639668158499</v>
      </c>
      <c r="E28" s="451"/>
    </row>
    <row r="29" spans="1:6" ht="17.399999999999999">
      <c r="A29" s="523" t="s">
        <v>195</v>
      </c>
      <c r="B29" s="376">
        <v>3857</v>
      </c>
      <c r="C29" s="296">
        <v>7.400000000000001E-2</v>
      </c>
      <c r="D29" s="245">
        <f t="shared" si="1"/>
        <v>8.4204781137430407E-2</v>
      </c>
      <c r="E29" s="451"/>
    </row>
    <row r="30" spans="1:6" ht="17.399999999999999">
      <c r="A30" s="516" t="s">
        <v>196</v>
      </c>
      <c r="B30" s="377">
        <v>2427</v>
      </c>
      <c r="C30" s="297">
        <v>4.7E-2</v>
      </c>
      <c r="D30" s="247">
        <f t="shared" si="1"/>
        <v>5.2985481934286649E-2</v>
      </c>
      <c r="E30" s="451"/>
    </row>
    <row r="31" spans="1:6" ht="17.399999999999999">
      <c r="A31" s="523" t="s">
        <v>197</v>
      </c>
      <c r="B31" s="376">
        <v>2309</v>
      </c>
      <c r="C31" s="296">
        <v>4.4000000000000004E-2</v>
      </c>
      <c r="D31" s="245">
        <f t="shared" si="1"/>
        <v>5.0409343958083178E-2</v>
      </c>
      <c r="E31" s="451"/>
    </row>
    <row r="32" spans="1:6" ht="18" thickBot="1">
      <c r="A32" s="518" t="s">
        <v>198</v>
      </c>
      <c r="B32" s="378">
        <v>1733</v>
      </c>
      <c r="C32" s="298">
        <v>3.3000000000000002E-2</v>
      </c>
      <c r="D32" s="256">
        <f t="shared" si="1"/>
        <v>3.7834297565767928E-2</v>
      </c>
      <c r="E32" s="451"/>
    </row>
    <row r="33" spans="1:6">
      <c r="A33" s="505" t="s">
        <v>56</v>
      </c>
      <c r="B33" s="122">
        <f>SUM(B26:B32)</f>
        <v>45805</v>
      </c>
      <c r="C33" s="297"/>
      <c r="D33" s="247">
        <f t="shared" si="1"/>
        <v>1</v>
      </c>
    </row>
    <row r="34" spans="1:6">
      <c r="A34" s="505" t="s">
        <v>1</v>
      </c>
      <c r="B34" s="122">
        <v>6200</v>
      </c>
      <c r="C34" s="297">
        <v>0.11900000000000001</v>
      </c>
      <c r="D34" s="251"/>
    </row>
    <row r="35" spans="1:6">
      <c r="A35" s="506" t="s">
        <v>78</v>
      </c>
      <c r="B35" s="126">
        <v>97</v>
      </c>
      <c r="C35" s="299">
        <v>2E-3</v>
      </c>
      <c r="D35" s="253"/>
    </row>
    <row r="36" spans="1:6">
      <c r="A36" s="512"/>
    </row>
    <row r="38" spans="1:6" ht="32.4">
      <c r="A38" s="525" t="s">
        <v>6</v>
      </c>
      <c r="B38" s="80" t="s">
        <v>4</v>
      </c>
      <c r="C38" s="102" t="s">
        <v>149</v>
      </c>
      <c r="D38" s="103" t="s">
        <v>148</v>
      </c>
      <c r="F38" s="56"/>
    </row>
    <row r="39" spans="1:6" ht="17.399999999999999">
      <c r="A39" s="516" t="s">
        <v>199</v>
      </c>
      <c r="B39" s="127">
        <v>15439</v>
      </c>
      <c r="C39" s="295">
        <v>0.29600000000000004</v>
      </c>
      <c r="D39" s="243">
        <f>B39/47456</f>
        <v>0.3253329399865138</v>
      </c>
      <c r="E39" s="451"/>
    </row>
    <row r="40" spans="1:6" ht="17.399999999999999">
      <c r="A40" s="523" t="s">
        <v>200</v>
      </c>
      <c r="B40" s="376">
        <v>15367</v>
      </c>
      <c r="C40" s="296">
        <v>0.29499999999999998</v>
      </c>
      <c r="D40" s="245">
        <f t="shared" ref="D40:D44" si="2">B40/47456</f>
        <v>0.32381574511126093</v>
      </c>
      <c r="E40" s="451"/>
    </row>
    <row r="41" spans="1:6" ht="17.399999999999999">
      <c r="A41" s="516" t="s">
        <v>201</v>
      </c>
      <c r="B41" s="377">
        <v>11753</v>
      </c>
      <c r="C41" s="297">
        <v>0.22600000000000001</v>
      </c>
      <c r="D41" s="247">
        <f t="shared" si="2"/>
        <v>0.24766099123398516</v>
      </c>
      <c r="E41" s="451"/>
    </row>
    <row r="42" spans="1:6" ht="17.399999999999999">
      <c r="A42" s="523" t="s">
        <v>202</v>
      </c>
      <c r="B42" s="376">
        <v>2848</v>
      </c>
      <c r="C42" s="296">
        <v>5.5E-2</v>
      </c>
      <c r="D42" s="245">
        <f t="shared" si="2"/>
        <v>6.0013486176668913E-2</v>
      </c>
      <c r="E42" s="451"/>
    </row>
    <row r="43" spans="1:6" ht="18" thickBot="1">
      <c r="A43" s="518" t="s">
        <v>203</v>
      </c>
      <c r="B43" s="378">
        <v>2049</v>
      </c>
      <c r="C43" s="298">
        <v>3.9E-2</v>
      </c>
      <c r="D43" s="256">
        <f t="shared" si="2"/>
        <v>4.3176837491571141E-2</v>
      </c>
      <c r="E43" s="451"/>
    </row>
    <row r="44" spans="1:6">
      <c r="A44" s="505" t="s">
        <v>56</v>
      </c>
      <c r="B44" s="122">
        <f>SUM(B39:B43)</f>
        <v>47456</v>
      </c>
      <c r="C44" s="297"/>
      <c r="D44" s="247">
        <f t="shared" si="2"/>
        <v>1</v>
      </c>
    </row>
    <row r="45" spans="1:6">
      <c r="A45" s="505" t="s">
        <v>1</v>
      </c>
      <c r="B45" s="122">
        <v>4545</v>
      </c>
      <c r="C45" s="297">
        <v>8.6999999999999994E-2</v>
      </c>
      <c r="D45" s="251"/>
    </row>
    <row r="46" spans="1:6">
      <c r="A46" s="506" t="s">
        <v>78</v>
      </c>
      <c r="B46" s="126">
        <v>101</v>
      </c>
      <c r="C46" s="299">
        <v>2E-3</v>
      </c>
      <c r="D46" s="253"/>
    </row>
    <row r="47" spans="1:6">
      <c r="A47" s="512"/>
    </row>
    <row r="49" spans="1:6" ht="32.4">
      <c r="A49" s="528" t="s">
        <v>7</v>
      </c>
      <c r="B49" s="80" t="s">
        <v>4</v>
      </c>
      <c r="C49" s="102" t="s">
        <v>149</v>
      </c>
      <c r="D49" s="103" t="s">
        <v>148</v>
      </c>
      <c r="F49" s="56"/>
    </row>
    <row r="50" spans="1:6" ht="17.399999999999999">
      <c r="A50" s="516" t="s">
        <v>204</v>
      </c>
      <c r="B50" s="127">
        <v>26757</v>
      </c>
      <c r="C50" s="295">
        <v>0.51400000000000001</v>
      </c>
      <c r="D50" s="243">
        <f>B50/48562</f>
        <v>0.55098636794201228</v>
      </c>
      <c r="E50" s="451"/>
    </row>
    <row r="51" spans="1:6" ht="17.399999999999999">
      <c r="A51" s="523" t="s">
        <v>205</v>
      </c>
      <c r="B51" s="376">
        <v>11376</v>
      </c>
      <c r="C51" s="296">
        <v>0.218</v>
      </c>
      <c r="D51" s="245">
        <f t="shared" ref="D51:D58" si="3">B51/48562</f>
        <v>0.23425723816976238</v>
      </c>
      <c r="E51" s="451"/>
    </row>
    <row r="52" spans="1:6" ht="17.399999999999999">
      <c r="A52" s="516" t="s">
        <v>206</v>
      </c>
      <c r="B52" s="377">
        <v>4121</v>
      </c>
      <c r="C52" s="297">
        <v>7.9000000000000001E-2</v>
      </c>
      <c r="D52" s="247">
        <f t="shared" si="3"/>
        <v>8.4860590585231252E-2</v>
      </c>
      <c r="E52" s="451"/>
    </row>
    <row r="53" spans="1:6" ht="17.399999999999999">
      <c r="A53" s="523" t="s">
        <v>207</v>
      </c>
      <c r="B53" s="376">
        <v>1686</v>
      </c>
      <c r="C53" s="296">
        <v>3.2000000000000001E-2</v>
      </c>
      <c r="D53" s="245">
        <f t="shared" si="3"/>
        <v>3.4718504180223222E-2</v>
      </c>
      <c r="E53" s="451"/>
    </row>
    <row r="54" spans="1:6" ht="17.399999999999999">
      <c r="A54" s="516" t="s">
        <v>208</v>
      </c>
      <c r="B54" s="377">
        <v>1455</v>
      </c>
      <c r="C54" s="297">
        <v>2.7999999999999997E-2</v>
      </c>
      <c r="D54" s="247">
        <f t="shared" si="3"/>
        <v>2.9961698447345662E-2</v>
      </c>
      <c r="E54" s="451"/>
    </row>
    <row r="55" spans="1:6" ht="17.399999999999999">
      <c r="A55" s="523" t="s">
        <v>209</v>
      </c>
      <c r="B55" s="376">
        <v>1295</v>
      </c>
      <c r="C55" s="296">
        <v>2.5000000000000001E-2</v>
      </c>
      <c r="D55" s="245">
        <f t="shared" si="3"/>
        <v>2.6666941229768131E-2</v>
      </c>
      <c r="E55" s="451"/>
    </row>
    <row r="56" spans="1:6" ht="17.399999999999999">
      <c r="A56" s="516" t="s">
        <v>210</v>
      </c>
      <c r="B56" s="377">
        <v>1250</v>
      </c>
      <c r="C56" s="297">
        <v>2.4E-2</v>
      </c>
      <c r="D56" s="247">
        <f t="shared" si="3"/>
        <v>2.5740290762324453E-2</v>
      </c>
      <c r="E56" s="451"/>
    </row>
    <row r="57" spans="1:6" ht="18" thickBot="1">
      <c r="A57" s="524" t="s">
        <v>211</v>
      </c>
      <c r="B57" s="379">
        <v>622</v>
      </c>
      <c r="C57" s="300">
        <v>1.2E-2</v>
      </c>
      <c r="D57" s="250">
        <f t="shared" si="3"/>
        <v>1.2808368683332646E-2</v>
      </c>
      <c r="E57" s="451"/>
    </row>
    <row r="58" spans="1:6">
      <c r="A58" s="505" t="s">
        <v>56</v>
      </c>
      <c r="B58" s="122">
        <f>SUM(B50:B57)</f>
        <v>48562</v>
      </c>
      <c r="C58" s="297"/>
      <c r="D58" s="247">
        <f t="shared" si="3"/>
        <v>1</v>
      </c>
    </row>
    <row r="59" spans="1:6">
      <c r="A59" s="505" t="s">
        <v>1</v>
      </c>
      <c r="B59" s="122">
        <v>2734</v>
      </c>
      <c r="C59" s="297">
        <v>5.2000000000000005E-2</v>
      </c>
      <c r="D59" s="251"/>
    </row>
    <row r="60" spans="1:6">
      <c r="A60" s="506" t="s">
        <v>78</v>
      </c>
      <c r="B60" s="126">
        <v>806</v>
      </c>
      <c r="C60" s="299">
        <v>1.4999999999999999E-2</v>
      </c>
      <c r="D60" s="253"/>
    </row>
    <row r="63" spans="1:6" ht="38.25" customHeight="1">
      <c r="A63" s="687" t="s">
        <v>126</v>
      </c>
      <c r="B63" s="687"/>
      <c r="C63" s="687"/>
      <c r="D63" s="687"/>
    </row>
  </sheetData>
  <mergeCells count="5">
    <mergeCell ref="A5:D5"/>
    <mergeCell ref="A8:D8"/>
    <mergeCell ref="A2:D2"/>
    <mergeCell ref="A63:D63"/>
    <mergeCell ref="A13:D13"/>
  </mergeCells>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80"/>
  <sheetViews>
    <sheetView topLeftCell="A25" workbookViewId="0">
      <selection activeCell="A25" sqref="A1:A1048576"/>
    </sheetView>
  </sheetViews>
  <sheetFormatPr defaultColWidth="9" defaultRowHeight="13.8"/>
  <cols>
    <col min="1" max="1" width="36.796875" style="515" customWidth="1"/>
    <col min="2" max="2" width="10.59765625" style="111" customWidth="1"/>
    <col min="3" max="3" width="10.59765625" style="274" customWidth="1"/>
    <col min="4" max="4" width="10.59765625" style="239" customWidth="1"/>
    <col min="5" max="16384" width="9" style="3"/>
  </cols>
  <sheetData>
    <row r="2" spans="1:4" ht="27.75" customHeight="1">
      <c r="A2" s="718" t="s">
        <v>94</v>
      </c>
      <c r="B2" s="719"/>
      <c r="C2" s="719"/>
      <c r="D2" s="720"/>
    </row>
    <row r="3" spans="1:4">
      <c r="A3" s="509" t="s">
        <v>15</v>
      </c>
    </row>
    <row r="5" spans="1:4" ht="29.25" customHeight="1">
      <c r="A5" s="708" t="s">
        <v>57</v>
      </c>
      <c r="B5" s="708"/>
      <c r="C5" s="708"/>
      <c r="D5" s="708"/>
    </row>
    <row r="6" spans="1:4">
      <c r="A6" s="512"/>
    </row>
    <row r="9" spans="1:4" ht="29.25" customHeight="1">
      <c r="A9" s="701" t="s">
        <v>95</v>
      </c>
      <c r="B9" s="702"/>
      <c r="C9" s="702"/>
      <c r="D9" s="703"/>
    </row>
    <row r="10" spans="1:4">
      <c r="A10" s="509" t="s">
        <v>14</v>
      </c>
    </row>
    <row r="11" spans="1:4">
      <c r="A11" s="509"/>
    </row>
    <row r="12" spans="1:4">
      <c r="A12" s="536" t="s">
        <v>69</v>
      </c>
      <c r="B12" s="390">
        <v>75766</v>
      </c>
      <c r="C12" s="240"/>
      <c r="D12" s="240"/>
    </row>
    <row r="13" spans="1:4">
      <c r="A13" s="537" t="s">
        <v>68</v>
      </c>
      <c r="B13" s="464">
        <v>55424</v>
      </c>
      <c r="C13" s="241">
        <v>0.73199999999999998</v>
      </c>
      <c r="D13" s="241"/>
    </row>
    <row r="14" spans="1:4" ht="29.1" customHeight="1">
      <c r="A14" s="736" t="s">
        <v>150</v>
      </c>
      <c r="B14" s="736"/>
      <c r="C14" s="736"/>
      <c r="D14" s="736"/>
    </row>
    <row r="15" spans="1:4">
      <c r="A15" s="509"/>
    </row>
    <row r="17" spans="1:6" ht="32.4">
      <c r="A17" s="542" t="s">
        <v>8</v>
      </c>
      <c r="B17" s="80" t="s">
        <v>4</v>
      </c>
      <c r="C17" s="102" t="s">
        <v>149</v>
      </c>
      <c r="D17" s="103" t="s">
        <v>148</v>
      </c>
      <c r="F17" s="56"/>
    </row>
    <row r="18" spans="1:6" ht="17.399999999999999">
      <c r="A18" s="516" t="s">
        <v>212</v>
      </c>
      <c r="B18" s="127">
        <v>20631</v>
      </c>
      <c r="C18" s="275">
        <v>0.372</v>
      </c>
      <c r="D18" s="243">
        <f>B18/49235</f>
        <v>0.41903117700822584</v>
      </c>
      <c r="E18" s="451"/>
    </row>
    <row r="19" spans="1:6" ht="17.399999999999999">
      <c r="A19" s="523" t="s">
        <v>213</v>
      </c>
      <c r="B19" s="376">
        <v>5529</v>
      </c>
      <c r="C19" s="276">
        <v>0.1</v>
      </c>
      <c r="D19" s="245">
        <f t="shared" ref="D19:D26" si="0">B19/49235</f>
        <v>0.11229816187671372</v>
      </c>
      <c r="E19" s="451"/>
    </row>
    <row r="20" spans="1:6" ht="17.399999999999999">
      <c r="A20" s="516" t="s">
        <v>214</v>
      </c>
      <c r="B20" s="377">
        <v>5435</v>
      </c>
      <c r="C20" s="277">
        <v>9.8000000000000004E-2</v>
      </c>
      <c r="D20" s="247">
        <f t="shared" si="0"/>
        <v>0.11038895094952778</v>
      </c>
      <c r="E20" s="451"/>
    </row>
    <row r="21" spans="1:6" ht="17.399999999999999">
      <c r="A21" s="523" t="s">
        <v>215</v>
      </c>
      <c r="B21" s="376">
        <v>3975</v>
      </c>
      <c r="C21" s="276">
        <v>7.1999999999999995E-2</v>
      </c>
      <c r="D21" s="245">
        <f t="shared" si="0"/>
        <v>8.0735249314512036E-2</v>
      </c>
      <c r="E21" s="451"/>
    </row>
    <row r="22" spans="1:6" ht="17.399999999999999">
      <c r="A22" s="516" t="s">
        <v>216</v>
      </c>
      <c r="B22" s="377">
        <v>3657</v>
      </c>
      <c r="C22" s="277">
        <v>6.6000000000000003E-2</v>
      </c>
      <c r="D22" s="247">
        <f t="shared" si="0"/>
        <v>7.4276429369351069E-2</v>
      </c>
      <c r="E22" s="451"/>
    </row>
    <row r="23" spans="1:6" ht="17.399999999999999">
      <c r="A23" s="523" t="s">
        <v>217</v>
      </c>
      <c r="B23" s="376">
        <v>3538</v>
      </c>
      <c r="C23" s="276">
        <v>6.4000000000000001E-2</v>
      </c>
      <c r="D23" s="245">
        <f t="shared" si="0"/>
        <v>7.1859449578551837E-2</v>
      </c>
      <c r="E23" s="451"/>
    </row>
    <row r="24" spans="1:6" ht="17.399999999999999">
      <c r="A24" s="516" t="s">
        <v>218</v>
      </c>
      <c r="B24" s="380">
        <v>3377</v>
      </c>
      <c r="C24" s="277">
        <v>6.0999999999999999E-2</v>
      </c>
      <c r="D24" s="247">
        <f t="shared" si="0"/>
        <v>6.8589418096882293E-2</v>
      </c>
      <c r="E24" s="451"/>
    </row>
    <row r="25" spans="1:6" ht="18" thickBot="1">
      <c r="A25" s="524" t="s">
        <v>219</v>
      </c>
      <c r="B25" s="379">
        <v>3093</v>
      </c>
      <c r="C25" s="278">
        <v>5.6000000000000001E-2</v>
      </c>
      <c r="D25" s="250">
        <f t="shared" si="0"/>
        <v>6.2821163806235397E-2</v>
      </c>
      <c r="E25" s="451"/>
    </row>
    <row r="26" spans="1:6">
      <c r="A26" s="505" t="s">
        <v>56</v>
      </c>
      <c r="B26" s="122">
        <f>SUM(B18:B25)</f>
        <v>49235</v>
      </c>
      <c r="C26" s="277"/>
      <c r="D26" s="247">
        <f t="shared" si="0"/>
        <v>1</v>
      </c>
    </row>
    <row r="27" spans="1:6">
      <c r="A27" s="505" t="s">
        <v>1</v>
      </c>
      <c r="B27" s="122">
        <v>5750</v>
      </c>
      <c r="C27" s="277">
        <v>0.104</v>
      </c>
      <c r="D27" s="251"/>
    </row>
    <row r="28" spans="1:6">
      <c r="A28" s="506" t="s">
        <v>78</v>
      </c>
      <c r="B28" s="126">
        <v>439</v>
      </c>
      <c r="C28" s="279">
        <v>8.0000000000000002E-3</v>
      </c>
      <c r="D28" s="253"/>
    </row>
    <row r="29" spans="1:6">
      <c r="A29" s="512"/>
    </row>
    <row r="31" spans="1:6" ht="32.4">
      <c r="A31" s="528" t="s">
        <v>3</v>
      </c>
      <c r="B31" s="80" t="s">
        <v>4</v>
      </c>
      <c r="C31" s="102" t="s">
        <v>149</v>
      </c>
      <c r="D31" s="103" t="s">
        <v>148</v>
      </c>
      <c r="F31" s="56"/>
    </row>
    <row r="32" spans="1:6" ht="17.399999999999999">
      <c r="A32" s="516" t="s">
        <v>220</v>
      </c>
      <c r="B32" s="381">
        <v>18996</v>
      </c>
      <c r="C32" s="280">
        <v>0.34300000000000003</v>
      </c>
      <c r="D32" s="243">
        <f>B32/43292</f>
        <v>0.43878776679294096</v>
      </c>
      <c r="E32" s="451"/>
    </row>
    <row r="33" spans="1:6" ht="17.399999999999999">
      <c r="A33" s="523" t="s">
        <v>221</v>
      </c>
      <c r="B33" s="382">
        <v>6369</v>
      </c>
      <c r="C33" s="281">
        <v>0.115</v>
      </c>
      <c r="D33" s="245">
        <f t="shared" ref="D33:D38" si="1">B33/43292</f>
        <v>0.14711725030028644</v>
      </c>
      <c r="E33" s="451"/>
    </row>
    <row r="34" spans="1:6" ht="17.399999999999999">
      <c r="A34" s="516" t="s">
        <v>508</v>
      </c>
      <c r="B34" s="383">
        <v>6293</v>
      </c>
      <c r="C34" s="282">
        <v>0.114</v>
      </c>
      <c r="D34" s="247">
        <f t="shared" si="1"/>
        <v>0.14536172964981983</v>
      </c>
      <c r="E34" s="451"/>
    </row>
    <row r="35" spans="1:6" ht="17.399999999999999">
      <c r="A35" s="523" t="s">
        <v>222</v>
      </c>
      <c r="B35" s="382">
        <v>4510</v>
      </c>
      <c r="C35" s="281">
        <v>8.1000000000000003E-2</v>
      </c>
      <c r="D35" s="245">
        <f t="shared" si="1"/>
        <v>0.10417629123163633</v>
      </c>
      <c r="E35" s="451"/>
    </row>
    <row r="36" spans="1:6" ht="17.399999999999999">
      <c r="A36" s="516" t="s">
        <v>509</v>
      </c>
      <c r="B36" s="383">
        <v>3599</v>
      </c>
      <c r="C36" s="282">
        <v>6.5000000000000002E-2</v>
      </c>
      <c r="D36" s="247">
        <f t="shared" si="1"/>
        <v>8.3133142381964328E-2</v>
      </c>
      <c r="E36" s="451"/>
    </row>
    <row r="37" spans="1:6" ht="18" thickBot="1">
      <c r="A37" s="524" t="s">
        <v>223</v>
      </c>
      <c r="B37" s="384">
        <v>3525</v>
      </c>
      <c r="C37" s="283">
        <v>6.4000000000000001E-2</v>
      </c>
      <c r="D37" s="250">
        <f t="shared" si="1"/>
        <v>8.1423819643352116E-2</v>
      </c>
      <c r="E37" s="451"/>
    </row>
    <row r="38" spans="1:6">
      <c r="A38" s="505" t="s">
        <v>56</v>
      </c>
      <c r="B38" s="136">
        <f>SUM(B32:B37)</f>
        <v>43292</v>
      </c>
      <c r="C38" s="282"/>
      <c r="D38" s="247">
        <f t="shared" si="1"/>
        <v>1</v>
      </c>
    </row>
    <row r="39" spans="1:6">
      <c r="A39" s="505" t="s">
        <v>1</v>
      </c>
      <c r="B39" s="136">
        <v>11587</v>
      </c>
      <c r="C39" s="282">
        <v>0.20899999999999999</v>
      </c>
      <c r="D39" s="251"/>
    </row>
    <row r="40" spans="1:6">
      <c r="A40" s="506" t="s">
        <v>78</v>
      </c>
      <c r="B40" s="137">
        <v>545</v>
      </c>
      <c r="C40" s="284">
        <v>0.01</v>
      </c>
      <c r="D40" s="253"/>
    </row>
    <row r="41" spans="1:6">
      <c r="A41" s="512"/>
    </row>
    <row r="43" spans="1:6" ht="32.4">
      <c r="A43" s="542" t="s">
        <v>9</v>
      </c>
      <c r="B43" s="80" t="s">
        <v>4</v>
      </c>
      <c r="C43" s="102" t="s">
        <v>149</v>
      </c>
      <c r="D43" s="103" t="s">
        <v>148</v>
      </c>
      <c r="F43" s="56"/>
    </row>
    <row r="44" spans="1:6" ht="17.399999999999999">
      <c r="A44" s="516" t="s">
        <v>224</v>
      </c>
      <c r="B44" s="418">
        <v>20990</v>
      </c>
      <c r="C44" s="285">
        <v>0.14400000000000002</v>
      </c>
      <c r="D44" s="243">
        <f t="shared" ref="D44:D75" si="2">B44/142837</f>
        <v>0.14695072005152726</v>
      </c>
      <c r="E44" s="451"/>
      <c r="F44" s="28"/>
    </row>
    <row r="45" spans="1:6" ht="17.399999999999999">
      <c r="A45" s="523" t="s">
        <v>225</v>
      </c>
      <c r="B45" s="419">
        <v>17514</v>
      </c>
      <c r="C45" s="286">
        <v>0.121</v>
      </c>
      <c r="D45" s="245">
        <f t="shared" si="2"/>
        <v>0.12261528875571455</v>
      </c>
      <c r="E45" s="451"/>
      <c r="F45" s="28"/>
    </row>
    <row r="46" spans="1:6" ht="17.399999999999999">
      <c r="A46" s="516" t="s">
        <v>226</v>
      </c>
      <c r="B46" s="420">
        <v>14083</v>
      </c>
      <c r="C46" s="287">
        <v>9.6999999999999989E-2</v>
      </c>
      <c r="D46" s="247">
        <f t="shared" si="2"/>
        <v>9.8594901881165251E-2</v>
      </c>
      <c r="E46" s="451"/>
      <c r="F46" s="29"/>
    </row>
    <row r="47" spans="1:6" ht="17.399999999999999">
      <c r="A47" s="523" t="s">
        <v>227</v>
      </c>
      <c r="B47" s="419">
        <v>12416</v>
      </c>
      <c r="C47" s="286">
        <v>8.5000000000000006E-2</v>
      </c>
      <c r="D47" s="245">
        <f t="shared" si="2"/>
        <v>8.6924256320141141E-2</v>
      </c>
      <c r="E47" s="451"/>
      <c r="F47" s="29"/>
    </row>
    <row r="48" spans="1:6" ht="17.399999999999999">
      <c r="A48" s="516" t="s">
        <v>228</v>
      </c>
      <c r="B48" s="420">
        <v>9020</v>
      </c>
      <c r="C48" s="287">
        <v>6.2E-2</v>
      </c>
      <c r="D48" s="247">
        <f t="shared" si="2"/>
        <v>6.3148903995463357E-2</v>
      </c>
      <c r="E48" s="451"/>
      <c r="F48" s="28"/>
    </row>
    <row r="49" spans="1:6" ht="17.399999999999999">
      <c r="A49" s="523" t="s">
        <v>229</v>
      </c>
      <c r="B49" s="419">
        <v>6639</v>
      </c>
      <c r="C49" s="286">
        <v>4.5999999999999999E-2</v>
      </c>
      <c r="D49" s="245">
        <f t="shared" si="2"/>
        <v>4.6479553617060007E-2</v>
      </c>
      <c r="E49" s="451"/>
      <c r="F49" s="29"/>
    </row>
    <row r="50" spans="1:6" ht="17.399999999999999">
      <c r="A50" s="516" t="s">
        <v>230</v>
      </c>
      <c r="B50" s="420">
        <v>6212</v>
      </c>
      <c r="C50" s="287">
        <v>4.2999999999999997E-2</v>
      </c>
      <c r="D50" s="247">
        <f t="shared" si="2"/>
        <v>4.3490132108627316E-2</v>
      </c>
      <c r="E50" s="451"/>
      <c r="F50" s="29"/>
    </row>
    <row r="51" spans="1:6" ht="17.399999999999999">
      <c r="A51" s="523" t="s">
        <v>231</v>
      </c>
      <c r="B51" s="419">
        <v>5750</v>
      </c>
      <c r="C51" s="286">
        <v>0.04</v>
      </c>
      <c r="D51" s="245">
        <f t="shared" si="2"/>
        <v>4.0255676050323097E-2</v>
      </c>
      <c r="E51" s="451"/>
      <c r="F51" s="28"/>
    </row>
    <row r="52" spans="1:6" ht="17.399999999999999">
      <c r="A52" s="516" t="s">
        <v>232</v>
      </c>
      <c r="B52" s="420">
        <v>4723</v>
      </c>
      <c r="C52" s="287">
        <v>3.3000000000000002E-2</v>
      </c>
      <c r="D52" s="247">
        <f t="shared" si="2"/>
        <v>3.3065662258378432E-2</v>
      </c>
      <c r="E52" s="451"/>
      <c r="F52" s="29"/>
    </row>
    <row r="53" spans="1:6" ht="17.399999999999999">
      <c r="A53" s="523" t="s">
        <v>233</v>
      </c>
      <c r="B53" s="419">
        <v>4107</v>
      </c>
      <c r="C53" s="286">
        <v>2.7999999999999997E-2</v>
      </c>
      <c r="D53" s="245">
        <f t="shared" si="2"/>
        <v>2.8753054180639469E-2</v>
      </c>
      <c r="E53" s="451"/>
      <c r="F53" s="28"/>
    </row>
    <row r="54" spans="1:6" ht="17.399999999999999">
      <c r="A54" s="516" t="s">
        <v>234</v>
      </c>
      <c r="B54" s="420">
        <v>4076</v>
      </c>
      <c r="C54" s="287">
        <v>2.7999999999999997E-2</v>
      </c>
      <c r="D54" s="247">
        <f t="shared" si="2"/>
        <v>2.8536023579324686E-2</v>
      </c>
      <c r="E54" s="451"/>
      <c r="F54" s="28"/>
    </row>
    <row r="55" spans="1:6" ht="17.399999999999999">
      <c r="A55" s="523" t="s">
        <v>235</v>
      </c>
      <c r="B55" s="419">
        <v>3618</v>
      </c>
      <c r="C55" s="286">
        <v>2.5000000000000001E-2</v>
      </c>
      <c r="D55" s="245">
        <f t="shared" si="2"/>
        <v>2.5329571469577209E-2</v>
      </c>
      <c r="E55" s="451"/>
      <c r="F55" s="28"/>
    </row>
    <row r="56" spans="1:6" ht="17.399999999999999">
      <c r="A56" s="516" t="s">
        <v>236</v>
      </c>
      <c r="B56" s="420">
        <v>3270</v>
      </c>
      <c r="C56" s="287">
        <v>2.3E-2</v>
      </c>
      <c r="D56" s="247">
        <f t="shared" si="2"/>
        <v>2.2893227945140263E-2</v>
      </c>
      <c r="E56" s="451"/>
      <c r="F56" s="29"/>
    </row>
    <row r="57" spans="1:6" ht="17.399999999999999">
      <c r="A57" s="523" t="s">
        <v>237</v>
      </c>
      <c r="B57" s="419">
        <v>2749</v>
      </c>
      <c r="C57" s="286">
        <v>1.9E-2</v>
      </c>
      <c r="D57" s="245">
        <f t="shared" si="2"/>
        <v>1.9245713645624034E-2</v>
      </c>
      <c r="E57" s="451"/>
      <c r="F57" s="29"/>
    </row>
    <row r="58" spans="1:6" ht="17.399999999999999">
      <c r="A58" s="516" t="s">
        <v>238</v>
      </c>
      <c r="B58" s="420">
        <v>2645</v>
      </c>
      <c r="C58" s="287">
        <v>1.8000000000000002E-2</v>
      </c>
      <c r="D58" s="247">
        <f t="shared" si="2"/>
        <v>1.8517610983148625E-2</v>
      </c>
      <c r="E58" s="451"/>
      <c r="F58" s="28"/>
    </row>
    <row r="59" spans="1:6" ht="17.399999999999999">
      <c r="A59" s="523" t="s">
        <v>239</v>
      </c>
      <c r="B59" s="419">
        <v>2435</v>
      </c>
      <c r="C59" s="286">
        <v>1.1000000000000001E-2</v>
      </c>
      <c r="D59" s="245">
        <f t="shared" si="2"/>
        <v>1.7047403683919434E-2</v>
      </c>
      <c r="E59" s="451"/>
      <c r="F59" s="28"/>
    </row>
    <row r="60" spans="1:6" ht="17.399999999999999">
      <c r="A60" s="516" t="s">
        <v>240</v>
      </c>
      <c r="B60" s="420">
        <v>2327</v>
      </c>
      <c r="C60" s="287">
        <v>1.6E-2</v>
      </c>
      <c r="D60" s="247">
        <f t="shared" si="2"/>
        <v>1.6291297072887276E-2</v>
      </c>
      <c r="E60" s="451"/>
      <c r="F60" s="29"/>
    </row>
    <row r="61" spans="1:6" ht="17.399999999999999">
      <c r="A61" s="523" t="s">
        <v>241</v>
      </c>
      <c r="B61" s="419">
        <v>2204</v>
      </c>
      <c r="C61" s="286">
        <v>1.4999999999999999E-2</v>
      </c>
      <c r="D61" s="245">
        <f t="shared" si="2"/>
        <v>1.5430175654767323E-2</v>
      </c>
      <c r="E61" s="451"/>
      <c r="F61" s="28"/>
    </row>
    <row r="62" spans="1:6" ht="17.399999999999999">
      <c r="A62" s="516" t="s">
        <v>242</v>
      </c>
      <c r="B62" s="420">
        <v>2204</v>
      </c>
      <c r="C62" s="287">
        <v>1.4999999999999999E-2</v>
      </c>
      <c r="D62" s="247">
        <f t="shared" si="2"/>
        <v>1.5430175654767323E-2</v>
      </c>
      <c r="E62" s="451"/>
      <c r="F62" s="28"/>
    </row>
    <row r="63" spans="1:6" ht="17.399999999999999">
      <c r="A63" s="523" t="s">
        <v>243</v>
      </c>
      <c r="B63" s="419">
        <v>1879</v>
      </c>
      <c r="C63" s="286">
        <v>1.3000000000000001E-2</v>
      </c>
      <c r="D63" s="245">
        <f t="shared" si="2"/>
        <v>1.3154854834531668E-2</v>
      </c>
      <c r="E63" s="451"/>
      <c r="F63" s="28"/>
    </row>
    <row r="64" spans="1:6" ht="17.399999999999999">
      <c r="A64" s="516" t="s">
        <v>244</v>
      </c>
      <c r="B64" s="420">
        <v>1763</v>
      </c>
      <c r="C64" s="287">
        <v>1.2E-2</v>
      </c>
      <c r="D64" s="247">
        <f t="shared" si="2"/>
        <v>1.234274032638602E-2</v>
      </c>
      <c r="E64" s="451"/>
      <c r="F64" s="28"/>
    </row>
    <row r="65" spans="1:6" ht="17.399999999999999">
      <c r="A65" s="523" t="s">
        <v>245</v>
      </c>
      <c r="B65" s="419">
        <v>1628</v>
      </c>
      <c r="C65" s="286">
        <v>1.1000000000000001E-2</v>
      </c>
      <c r="D65" s="245">
        <f t="shared" si="2"/>
        <v>1.1397607062595827E-2</v>
      </c>
      <c r="E65" s="451"/>
      <c r="F65" s="28"/>
    </row>
    <row r="66" spans="1:6" ht="17.399999999999999">
      <c r="A66" s="516" t="s">
        <v>246</v>
      </c>
      <c r="B66" s="420">
        <v>1610</v>
      </c>
      <c r="C66" s="287">
        <v>1.1000000000000001E-2</v>
      </c>
      <c r="D66" s="247">
        <f t="shared" si="2"/>
        <v>1.1271589294090468E-2</v>
      </c>
      <c r="E66" s="451"/>
      <c r="F66" s="28"/>
    </row>
    <row r="67" spans="1:6" ht="17.399999999999999">
      <c r="A67" s="523" t="s">
        <v>247</v>
      </c>
      <c r="B67" s="419">
        <v>1468</v>
      </c>
      <c r="C67" s="286">
        <v>0.01</v>
      </c>
      <c r="D67" s="245">
        <f t="shared" si="2"/>
        <v>1.0277449120325965E-2</v>
      </c>
      <c r="E67" s="451"/>
      <c r="F67" s="28"/>
    </row>
    <row r="68" spans="1:6" ht="17.399999999999999">
      <c r="A68" s="516" t="s">
        <v>248</v>
      </c>
      <c r="B68" s="420">
        <v>1280</v>
      </c>
      <c r="C68" s="287">
        <v>9.0000000000000011E-3</v>
      </c>
      <c r="D68" s="247">
        <f t="shared" si="2"/>
        <v>8.9612635381588809E-3</v>
      </c>
      <c r="E68" s="451"/>
      <c r="F68" s="29"/>
    </row>
    <row r="69" spans="1:6" ht="17.399999999999999">
      <c r="A69" s="523" t="s">
        <v>249</v>
      </c>
      <c r="B69" s="419">
        <v>1277</v>
      </c>
      <c r="C69" s="286">
        <v>9.0000000000000011E-3</v>
      </c>
      <c r="D69" s="245">
        <f t="shared" si="2"/>
        <v>8.9402605767413199E-3</v>
      </c>
      <c r="E69" s="451"/>
      <c r="F69" s="29"/>
    </row>
    <row r="70" spans="1:6" ht="17.399999999999999">
      <c r="A70" s="516" t="s">
        <v>250</v>
      </c>
      <c r="B70" s="420">
        <v>1211</v>
      </c>
      <c r="C70" s="287">
        <v>8.0000000000000002E-3</v>
      </c>
      <c r="D70" s="247">
        <f t="shared" si="2"/>
        <v>8.4781954255550036E-3</v>
      </c>
      <c r="E70" s="451"/>
      <c r="F70" s="29"/>
    </row>
    <row r="71" spans="1:6" ht="17.399999999999999">
      <c r="A71" s="523" t="s">
        <v>251</v>
      </c>
      <c r="B71" s="419">
        <v>1208</v>
      </c>
      <c r="C71" s="286">
        <v>8.0000000000000002E-3</v>
      </c>
      <c r="D71" s="245">
        <f t="shared" si="2"/>
        <v>8.4571924641374426E-3</v>
      </c>
      <c r="E71" s="451"/>
      <c r="F71" s="29"/>
    </row>
    <row r="72" spans="1:6" ht="17.399999999999999">
      <c r="A72" s="516" t="s">
        <v>252</v>
      </c>
      <c r="B72" s="420">
        <v>1060</v>
      </c>
      <c r="C72" s="287">
        <v>6.9999999999999993E-3</v>
      </c>
      <c r="D72" s="247">
        <f t="shared" si="2"/>
        <v>7.4210463675378228E-3</v>
      </c>
      <c r="E72" s="451"/>
      <c r="F72" s="29"/>
    </row>
    <row r="73" spans="1:6" ht="17.399999999999999">
      <c r="A73" s="523" t="s">
        <v>253</v>
      </c>
      <c r="B73" s="419">
        <v>962</v>
      </c>
      <c r="C73" s="286">
        <v>6.9999999999999993E-3</v>
      </c>
      <c r="D73" s="245">
        <f t="shared" si="2"/>
        <v>6.7349496278975339E-3</v>
      </c>
      <c r="E73" s="451"/>
      <c r="F73" s="29"/>
    </row>
    <row r="74" spans="1:6" ht="18" thickBot="1">
      <c r="A74" s="518" t="s">
        <v>211</v>
      </c>
      <c r="B74" s="421">
        <v>509</v>
      </c>
      <c r="C74" s="288">
        <v>4.0000000000000001E-3</v>
      </c>
      <c r="D74" s="256">
        <f>B74/142837</f>
        <v>3.5635024538459921E-3</v>
      </c>
      <c r="E74" s="451"/>
      <c r="F74" s="29"/>
    </row>
    <row r="75" spans="1:6">
      <c r="A75" s="543" t="s">
        <v>56</v>
      </c>
      <c r="B75" s="138">
        <f>SUM(B44:B74)</f>
        <v>142837</v>
      </c>
      <c r="C75" s="226"/>
      <c r="D75" s="247">
        <f t="shared" si="2"/>
        <v>1</v>
      </c>
      <c r="F75" s="27"/>
    </row>
    <row r="76" spans="1:6">
      <c r="A76" s="543" t="s">
        <v>1</v>
      </c>
      <c r="B76" s="139">
        <v>2224</v>
      </c>
      <c r="C76" s="226" t="s">
        <v>58</v>
      </c>
      <c r="D76" s="251"/>
      <c r="F76" s="12"/>
    </row>
    <row r="77" spans="1:6">
      <c r="A77" s="544" t="s">
        <v>78</v>
      </c>
      <c r="B77" s="140">
        <v>262</v>
      </c>
      <c r="C77" s="230">
        <v>2E-3</v>
      </c>
      <c r="D77" s="253"/>
      <c r="F77" s="12"/>
    </row>
    <row r="80" spans="1:6" ht="38.25" customHeight="1">
      <c r="A80" s="687" t="s">
        <v>125</v>
      </c>
      <c r="B80" s="687"/>
      <c r="C80" s="687"/>
      <c r="D80" s="687"/>
    </row>
  </sheetData>
  <mergeCells count="5">
    <mergeCell ref="A5:D5"/>
    <mergeCell ref="A9:D9"/>
    <mergeCell ref="A2:D2"/>
    <mergeCell ref="A80:D80"/>
    <mergeCell ref="A14:D14"/>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61"/>
  <sheetViews>
    <sheetView topLeftCell="A10" workbookViewId="0">
      <selection sqref="A1:A1048576"/>
    </sheetView>
  </sheetViews>
  <sheetFormatPr defaultColWidth="9" defaultRowHeight="13.8"/>
  <cols>
    <col min="1" max="1" width="36.796875" style="501" customWidth="1"/>
    <col min="2" max="2" width="10.59765625" style="119" customWidth="1"/>
    <col min="3" max="3" width="10.59765625" style="257" customWidth="1"/>
    <col min="4" max="4" width="10.59765625" style="83" customWidth="1"/>
    <col min="5" max="16384" width="9" style="5"/>
  </cols>
  <sheetData>
    <row r="2" spans="1:4" ht="28.5" customHeight="1">
      <c r="A2" s="705" t="s">
        <v>92</v>
      </c>
      <c r="B2" s="706"/>
      <c r="C2" s="706"/>
      <c r="D2" s="707"/>
    </row>
    <row r="3" spans="1:4">
      <c r="A3" s="534" t="s">
        <v>12</v>
      </c>
    </row>
    <row r="5" spans="1:4" ht="28.5" customHeight="1">
      <c r="A5" s="708" t="s">
        <v>57</v>
      </c>
      <c r="B5" s="708"/>
      <c r="C5" s="708"/>
      <c r="D5" s="708"/>
    </row>
    <row r="6" spans="1:4">
      <c r="A6" s="545"/>
    </row>
    <row r="9" spans="1:4" ht="28.5" customHeight="1">
      <c r="A9" s="694" t="s">
        <v>93</v>
      </c>
      <c r="B9" s="695"/>
      <c r="C9" s="695"/>
      <c r="D9" s="696"/>
    </row>
    <row r="10" spans="1:4">
      <c r="A10" s="534" t="s">
        <v>13</v>
      </c>
    </row>
    <row r="11" spans="1:4">
      <c r="A11" s="534"/>
    </row>
    <row r="12" spans="1:4">
      <c r="A12" s="534"/>
    </row>
    <row r="13" spans="1:4">
      <c r="A13" s="536" t="s">
        <v>69</v>
      </c>
      <c r="B13" s="141">
        <v>68122</v>
      </c>
      <c r="C13" s="258"/>
      <c r="D13" s="221"/>
    </row>
    <row r="14" spans="1:4">
      <c r="A14" s="537" t="s">
        <v>68</v>
      </c>
      <c r="B14" s="142">
        <v>51029</v>
      </c>
      <c r="C14" s="259">
        <v>0.749</v>
      </c>
      <c r="D14" s="222"/>
    </row>
    <row r="15" spans="1:4" ht="29.1" customHeight="1">
      <c r="A15" s="736" t="s">
        <v>150</v>
      </c>
      <c r="B15" s="736"/>
      <c r="C15" s="736"/>
      <c r="D15" s="736"/>
    </row>
    <row r="16" spans="1:4">
      <c r="A16" s="534"/>
    </row>
    <row r="18" spans="1:6" ht="32.4">
      <c r="A18" s="525" t="s">
        <v>5</v>
      </c>
      <c r="B18" s="80" t="s">
        <v>4</v>
      </c>
      <c r="C18" s="102" t="s">
        <v>149</v>
      </c>
      <c r="D18" s="103" t="s">
        <v>148</v>
      </c>
      <c r="F18" s="56"/>
    </row>
    <row r="19" spans="1:6" ht="17.399999999999999">
      <c r="A19" s="516" t="s">
        <v>190</v>
      </c>
      <c r="B19" s="385">
        <v>16727</v>
      </c>
      <c r="C19" s="260">
        <v>0.32800000000000001</v>
      </c>
      <c r="D19" s="261">
        <f>B19/43639</f>
        <v>0.38330392538784114</v>
      </c>
      <c r="E19" s="451"/>
    </row>
    <row r="20" spans="1:6" ht="17.399999999999999">
      <c r="A20" s="523" t="s">
        <v>265</v>
      </c>
      <c r="B20" s="386">
        <v>9998</v>
      </c>
      <c r="C20" s="262">
        <v>0.19600000000000001</v>
      </c>
      <c r="D20" s="263">
        <f t="shared" ref="D20:D25" si="0">B20/43639</f>
        <v>0.22910699145259975</v>
      </c>
      <c r="E20" s="451"/>
    </row>
    <row r="21" spans="1:6" ht="17.399999999999999">
      <c r="A21" s="516" t="s">
        <v>266</v>
      </c>
      <c r="B21" s="387">
        <v>5419</v>
      </c>
      <c r="C21" s="264">
        <v>0.106</v>
      </c>
      <c r="D21" s="265">
        <f t="shared" si="0"/>
        <v>0.124177914251014</v>
      </c>
      <c r="E21" s="451"/>
    </row>
    <row r="22" spans="1:6" ht="17.399999999999999">
      <c r="A22" s="523" t="s">
        <v>267</v>
      </c>
      <c r="B22" s="386">
        <v>4622</v>
      </c>
      <c r="C22" s="262">
        <v>9.0999999999999998E-2</v>
      </c>
      <c r="D22" s="263">
        <f t="shared" si="0"/>
        <v>0.10591443433625886</v>
      </c>
      <c r="E22" s="451"/>
    </row>
    <row r="23" spans="1:6" ht="17.399999999999999">
      <c r="A23" s="516" t="s">
        <v>268</v>
      </c>
      <c r="B23" s="387">
        <v>3984</v>
      </c>
      <c r="C23" s="264">
        <v>7.8E-2</v>
      </c>
      <c r="D23" s="265">
        <f t="shared" si="0"/>
        <v>9.1294484291574052E-2</v>
      </c>
      <c r="E23" s="451"/>
    </row>
    <row r="24" spans="1:6" ht="18" thickBot="1">
      <c r="A24" s="524" t="s">
        <v>269</v>
      </c>
      <c r="B24" s="388">
        <v>2889</v>
      </c>
      <c r="C24" s="266">
        <v>5.7000000000000002E-2</v>
      </c>
      <c r="D24" s="267">
        <f t="shared" si="0"/>
        <v>6.6202250280712208E-2</v>
      </c>
      <c r="E24" s="451"/>
    </row>
    <row r="25" spans="1:6">
      <c r="A25" s="505" t="s">
        <v>56</v>
      </c>
      <c r="B25" s="120">
        <f>SUM(B19:B24)</f>
        <v>43639</v>
      </c>
      <c r="C25" s="264"/>
      <c r="D25" s="265">
        <f t="shared" si="0"/>
        <v>1</v>
      </c>
    </row>
    <row r="26" spans="1:6">
      <c r="A26" s="505" t="s">
        <v>1</v>
      </c>
      <c r="B26" s="120">
        <v>7269</v>
      </c>
      <c r="C26" s="264">
        <v>0.14199999999999999</v>
      </c>
      <c r="D26" s="268"/>
    </row>
    <row r="27" spans="1:6">
      <c r="A27" s="506" t="s">
        <v>78</v>
      </c>
      <c r="B27" s="121">
        <v>121</v>
      </c>
      <c r="C27" s="269">
        <v>2E-3</v>
      </c>
      <c r="D27" s="270"/>
    </row>
    <row r="30" spans="1:6" ht="32.4">
      <c r="A30" s="525" t="s">
        <v>2</v>
      </c>
      <c r="B30" s="80" t="s">
        <v>4</v>
      </c>
      <c r="C30" s="102" t="s">
        <v>149</v>
      </c>
      <c r="D30" s="103" t="s">
        <v>148</v>
      </c>
      <c r="F30" s="56"/>
    </row>
    <row r="31" spans="1:6" ht="17.399999999999999">
      <c r="A31" s="516" t="s">
        <v>263</v>
      </c>
      <c r="B31" s="385">
        <v>34068</v>
      </c>
      <c r="C31" s="260">
        <v>0.66800000000000004</v>
      </c>
      <c r="D31" s="261">
        <f>B31/45395</f>
        <v>0.75047912765723102</v>
      </c>
      <c r="E31" s="451"/>
    </row>
    <row r="32" spans="1:6" ht="18" thickBot="1">
      <c r="A32" s="524" t="s">
        <v>264</v>
      </c>
      <c r="B32" s="388">
        <v>11327</v>
      </c>
      <c r="C32" s="266">
        <v>0.222</v>
      </c>
      <c r="D32" s="267">
        <f t="shared" ref="D32:D33" si="1">B32/45395</f>
        <v>0.24952087234276904</v>
      </c>
      <c r="E32" s="451"/>
    </row>
    <row r="33" spans="1:6">
      <c r="A33" s="505" t="s">
        <v>56</v>
      </c>
      <c r="B33" s="120">
        <f>SUM(B31:B32)</f>
        <v>45395</v>
      </c>
      <c r="C33" s="264"/>
      <c r="D33" s="265">
        <f t="shared" si="1"/>
        <v>1</v>
      </c>
    </row>
    <row r="34" spans="1:6">
      <c r="A34" s="505" t="s">
        <v>1</v>
      </c>
      <c r="B34" s="120">
        <v>5620</v>
      </c>
      <c r="C34" s="264">
        <v>0.11</v>
      </c>
      <c r="D34" s="268"/>
    </row>
    <row r="35" spans="1:6">
      <c r="A35" s="506" t="s">
        <v>78</v>
      </c>
      <c r="B35" s="121">
        <v>14</v>
      </c>
      <c r="C35" s="269">
        <v>0</v>
      </c>
      <c r="D35" s="270"/>
    </row>
    <row r="36" spans="1:6">
      <c r="A36" s="546"/>
    </row>
    <row r="38" spans="1:6" ht="32.4">
      <c r="A38" s="525" t="s">
        <v>6</v>
      </c>
      <c r="B38" s="80" t="s">
        <v>4</v>
      </c>
      <c r="C38" s="102" t="s">
        <v>149</v>
      </c>
      <c r="D38" s="103" t="s">
        <v>148</v>
      </c>
      <c r="F38" s="56"/>
    </row>
    <row r="39" spans="1:6" ht="17.399999999999999">
      <c r="A39" s="516" t="s">
        <v>200</v>
      </c>
      <c r="B39" s="385">
        <v>27295</v>
      </c>
      <c r="C39" s="260">
        <v>0.53500000000000003</v>
      </c>
      <c r="D39" s="261">
        <f>B39/45653</f>
        <v>0.59787965741572291</v>
      </c>
      <c r="E39" s="451"/>
    </row>
    <row r="40" spans="1:6" ht="17.399999999999999">
      <c r="A40" s="523" t="s">
        <v>261</v>
      </c>
      <c r="B40" s="386">
        <v>9916</v>
      </c>
      <c r="C40" s="262">
        <v>0.19400000000000001</v>
      </c>
      <c r="D40" s="263">
        <f t="shared" ref="D40:D42" si="2">B40/45653</f>
        <v>0.21720368869515694</v>
      </c>
      <c r="E40" s="451"/>
    </row>
    <row r="41" spans="1:6" ht="18" thickBot="1">
      <c r="A41" s="518" t="s">
        <v>262</v>
      </c>
      <c r="B41" s="389">
        <v>8442</v>
      </c>
      <c r="C41" s="271">
        <v>0.16500000000000001</v>
      </c>
      <c r="D41" s="272">
        <f t="shared" si="2"/>
        <v>0.1849166538891201</v>
      </c>
      <c r="E41" s="451"/>
    </row>
    <row r="42" spans="1:6">
      <c r="A42" s="505" t="s">
        <v>56</v>
      </c>
      <c r="B42" s="120">
        <f>SUM(B39:B41)</f>
        <v>45653</v>
      </c>
      <c r="C42" s="264"/>
      <c r="D42" s="265">
        <f t="shared" si="2"/>
        <v>1</v>
      </c>
    </row>
    <row r="43" spans="1:6">
      <c r="A43" s="505" t="s">
        <v>1</v>
      </c>
      <c r="B43" s="120">
        <v>5338</v>
      </c>
      <c r="C43" s="264">
        <v>0.105</v>
      </c>
      <c r="D43" s="268"/>
    </row>
    <row r="44" spans="1:6">
      <c r="A44" s="506" t="s">
        <v>78</v>
      </c>
      <c r="B44" s="121">
        <v>38</v>
      </c>
      <c r="C44" s="269">
        <v>1E-3</v>
      </c>
      <c r="D44" s="270"/>
    </row>
    <row r="45" spans="1:6">
      <c r="A45" s="546"/>
    </row>
    <row r="47" spans="1:6" ht="32.4">
      <c r="A47" s="528" t="s">
        <v>7</v>
      </c>
      <c r="B47" s="80" t="s">
        <v>4</v>
      </c>
      <c r="C47" s="102" t="s">
        <v>149</v>
      </c>
      <c r="D47" s="103" t="s">
        <v>148</v>
      </c>
      <c r="F47" s="56"/>
    </row>
    <row r="48" spans="1:6" ht="17.399999999999999">
      <c r="A48" s="516" t="s">
        <v>254</v>
      </c>
      <c r="B48" s="385">
        <v>16467</v>
      </c>
      <c r="C48" s="260">
        <v>0.32300000000000001</v>
      </c>
      <c r="D48" s="261">
        <f>B48/46809</f>
        <v>0.35179132218163173</v>
      </c>
      <c r="E48" s="451"/>
    </row>
    <row r="49" spans="1:5" ht="17.399999999999999">
      <c r="A49" s="523" t="s">
        <v>227</v>
      </c>
      <c r="B49" s="386">
        <v>14340</v>
      </c>
      <c r="C49" s="273">
        <v>0.28100000000000003</v>
      </c>
      <c r="D49" s="263">
        <f t="shared" ref="D49:D56" si="3">B49/46809</f>
        <v>0.30635134269050823</v>
      </c>
      <c r="E49" s="451"/>
    </row>
    <row r="50" spans="1:5" ht="17.399999999999999">
      <c r="A50" s="516" t="s">
        <v>255</v>
      </c>
      <c r="B50" s="387">
        <v>6185</v>
      </c>
      <c r="C50" s="264">
        <v>0.121</v>
      </c>
      <c r="D50" s="265">
        <f t="shared" si="3"/>
        <v>0.13213270952167319</v>
      </c>
      <c r="E50" s="451"/>
    </row>
    <row r="51" spans="1:5" ht="17.399999999999999">
      <c r="A51" s="523" t="s">
        <v>256</v>
      </c>
      <c r="B51" s="386">
        <v>3037</v>
      </c>
      <c r="C51" s="262">
        <v>0.06</v>
      </c>
      <c r="D51" s="263">
        <f t="shared" si="3"/>
        <v>6.488068533828964E-2</v>
      </c>
      <c r="E51" s="451"/>
    </row>
    <row r="52" spans="1:5" ht="17.399999999999999">
      <c r="A52" s="516" t="s">
        <v>257</v>
      </c>
      <c r="B52" s="387">
        <v>2709</v>
      </c>
      <c r="C52" s="264">
        <v>5.2999999999999999E-2</v>
      </c>
      <c r="D52" s="265">
        <f t="shared" si="3"/>
        <v>5.7873485868102287E-2</v>
      </c>
      <c r="E52" s="451"/>
    </row>
    <row r="53" spans="1:5" ht="17.399999999999999">
      <c r="A53" s="523" t="s">
        <v>258</v>
      </c>
      <c r="B53" s="386">
        <v>2221</v>
      </c>
      <c r="C53" s="262">
        <v>4.3999999999999997E-2</v>
      </c>
      <c r="D53" s="263">
        <f t="shared" si="3"/>
        <v>4.7448140314896706E-2</v>
      </c>
      <c r="E53" s="451"/>
    </row>
    <row r="54" spans="1:5" ht="17.399999999999999">
      <c r="A54" s="516" t="s">
        <v>259</v>
      </c>
      <c r="B54" s="387">
        <v>1124</v>
      </c>
      <c r="C54" s="264">
        <v>2.1999999999999999E-2</v>
      </c>
      <c r="D54" s="265">
        <f t="shared" si="3"/>
        <v>2.4012476233203017E-2</v>
      </c>
      <c r="E54" s="451"/>
    </row>
    <row r="55" spans="1:5" ht="18" thickBot="1">
      <c r="A55" s="524" t="s">
        <v>260</v>
      </c>
      <c r="B55" s="388">
        <v>726</v>
      </c>
      <c r="C55" s="266">
        <v>1.4E-2</v>
      </c>
      <c r="D55" s="267">
        <f t="shared" si="3"/>
        <v>1.5509837851695187E-2</v>
      </c>
      <c r="E55" s="451"/>
    </row>
    <row r="56" spans="1:5">
      <c r="A56" s="505" t="s">
        <v>56</v>
      </c>
      <c r="B56" s="120">
        <f>SUM(B48:B55)</f>
        <v>46809</v>
      </c>
      <c r="C56" s="264"/>
      <c r="D56" s="265">
        <f t="shared" si="3"/>
        <v>1</v>
      </c>
    </row>
    <row r="57" spans="1:5">
      <c r="A57" s="505" t="s">
        <v>1</v>
      </c>
      <c r="B57" s="120">
        <v>3038</v>
      </c>
      <c r="C57" s="264">
        <v>0.06</v>
      </c>
      <c r="D57" s="268"/>
    </row>
    <row r="58" spans="1:5">
      <c r="A58" s="506" t="s">
        <v>78</v>
      </c>
      <c r="B58" s="121">
        <v>1182</v>
      </c>
      <c r="C58" s="269">
        <v>2.3E-2</v>
      </c>
      <c r="D58" s="270"/>
    </row>
    <row r="61" spans="1:5" ht="38.25" customHeight="1">
      <c r="A61" s="687" t="s">
        <v>124</v>
      </c>
      <c r="B61" s="687"/>
      <c r="C61" s="687"/>
      <c r="D61" s="687"/>
    </row>
  </sheetData>
  <mergeCells count="5">
    <mergeCell ref="A5:D5"/>
    <mergeCell ref="A9:D9"/>
    <mergeCell ref="A2:D2"/>
    <mergeCell ref="A61:D61"/>
    <mergeCell ref="A15:D15"/>
  </mergeCells>
  <pageMargins left="0.7" right="0.7" top="0.75" bottom="0.75" header="0.3" footer="0.3"/>
  <pageSetup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64"/>
  <sheetViews>
    <sheetView topLeftCell="A55" workbookViewId="0">
      <selection activeCell="A55" sqref="A1:A1048576"/>
    </sheetView>
  </sheetViews>
  <sheetFormatPr defaultColWidth="9" defaultRowHeight="13.8"/>
  <cols>
    <col min="1" max="1" width="36.19921875" style="533" customWidth="1"/>
    <col min="2" max="2" width="10.59765625" style="143" customWidth="1"/>
    <col min="3" max="4" width="10.59765625" style="239" customWidth="1"/>
    <col min="5" max="16384" width="9" style="3"/>
  </cols>
  <sheetData>
    <row r="2" spans="1:4" ht="29.25" customHeight="1">
      <c r="A2" s="718" t="s">
        <v>90</v>
      </c>
      <c r="B2" s="719"/>
      <c r="C2" s="719"/>
      <c r="D2" s="720"/>
    </row>
    <row r="3" spans="1:4">
      <c r="A3" s="509" t="s">
        <v>70</v>
      </c>
    </row>
    <row r="4" spans="1:4">
      <c r="A4" s="515"/>
    </row>
    <row r="5" spans="1:4" ht="29.25" customHeight="1">
      <c r="A5" s="737" t="s">
        <v>57</v>
      </c>
      <c r="B5" s="737"/>
      <c r="C5" s="737"/>
      <c r="D5" s="737"/>
    </row>
    <row r="6" spans="1:4">
      <c r="A6" s="515"/>
    </row>
    <row r="7" spans="1:4">
      <c r="A7" s="515"/>
    </row>
    <row r="8" spans="1:4">
      <c r="A8" s="515"/>
    </row>
    <row r="9" spans="1:4" ht="28.5" customHeight="1">
      <c r="A9" s="701" t="s">
        <v>91</v>
      </c>
      <c r="B9" s="702"/>
      <c r="C9" s="702"/>
      <c r="D9" s="703"/>
    </row>
    <row r="10" spans="1:4">
      <c r="A10" s="509" t="s">
        <v>60</v>
      </c>
    </row>
    <row r="11" spans="1:4">
      <c r="A11" s="509"/>
    </row>
    <row r="12" spans="1:4">
      <c r="A12" s="536" t="s">
        <v>69</v>
      </c>
      <c r="B12" s="148">
        <v>65773</v>
      </c>
      <c r="C12" s="240"/>
      <c r="D12" s="240"/>
    </row>
    <row r="13" spans="1:4">
      <c r="A13" s="537" t="s">
        <v>68</v>
      </c>
      <c r="B13" s="149">
        <v>49231</v>
      </c>
      <c r="C13" s="218">
        <v>0.748</v>
      </c>
      <c r="D13" s="241"/>
    </row>
    <row r="14" spans="1:4" ht="28.5" customHeight="1">
      <c r="A14" s="736" t="s">
        <v>150</v>
      </c>
      <c r="B14" s="736"/>
      <c r="C14" s="736"/>
      <c r="D14" s="736"/>
    </row>
    <row r="15" spans="1:4">
      <c r="A15" s="509"/>
    </row>
    <row r="17" spans="1:6" ht="32.4">
      <c r="A17" s="542" t="s">
        <v>9</v>
      </c>
      <c r="B17" s="80" t="s">
        <v>4</v>
      </c>
      <c r="C17" s="102" t="s">
        <v>149</v>
      </c>
      <c r="D17" s="103" t="s">
        <v>148</v>
      </c>
      <c r="F17" s="56"/>
    </row>
    <row r="18" spans="1:6" ht="17.399999999999999">
      <c r="A18" s="547" t="s">
        <v>270</v>
      </c>
      <c r="B18" s="390">
        <v>18318</v>
      </c>
      <c r="C18" s="242">
        <v>0.372</v>
      </c>
      <c r="D18" s="243">
        <f>B18/121800</f>
        <v>0.15039408866995074</v>
      </c>
      <c r="E18" s="451"/>
    </row>
    <row r="19" spans="1:6" ht="17.399999999999999">
      <c r="A19" s="548" t="s">
        <v>271</v>
      </c>
      <c r="B19" s="391">
        <v>17581</v>
      </c>
      <c r="C19" s="244">
        <v>0.35699999999999998</v>
      </c>
      <c r="D19" s="245">
        <f t="shared" ref="D19:D36" si="0">B19/121800</f>
        <v>0.1443431855500821</v>
      </c>
      <c r="E19" s="451"/>
    </row>
    <row r="20" spans="1:6" ht="17.399999999999999">
      <c r="A20" s="547" t="s">
        <v>272</v>
      </c>
      <c r="B20" s="143">
        <v>13800</v>
      </c>
      <c r="C20" s="246">
        <v>0.28000000000000003</v>
      </c>
      <c r="D20" s="247">
        <f t="shared" si="0"/>
        <v>0.11330049261083744</v>
      </c>
      <c r="E20" s="451"/>
    </row>
    <row r="21" spans="1:6" ht="17.399999999999999">
      <c r="A21" s="548" t="s">
        <v>273</v>
      </c>
      <c r="B21" s="391">
        <v>12033</v>
      </c>
      <c r="C21" s="244">
        <v>0.24399999999999999</v>
      </c>
      <c r="D21" s="245">
        <f t="shared" si="0"/>
        <v>9.8793103448275868E-2</v>
      </c>
      <c r="E21" s="451"/>
    </row>
    <row r="22" spans="1:6" ht="17.399999999999999">
      <c r="A22" s="547" t="s">
        <v>274</v>
      </c>
      <c r="B22" s="143">
        <v>7606</v>
      </c>
      <c r="C22" s="246">
        <v>0.154</v>
      </c>
      <c r="D22" s="247">
        <f t="shared" si="0"/>
        <v>6.2446633825944169E-2</v>
      </c>
      <c r="E22" s="451"/>
    </row>
    <row r="23" spans="1:6" ht="17.399999999999999">
      <c r="A23" s="548" t="s">
        <v>275</v>
      </c>
      <c r="B23" s="391">
        <v>7380</v>
      </c>
      <c r="C23" s="244">
        <v>0.14899999999999999</v>
      </c>
      <c r="D23" s="245">
        <f t="shared" si="0"/>
        <v>6.0591133004926107E-2</v>
      </c>
      <c r="E23" s="451"/>
    </row>
    <row r="24" spans="1:6" ht="17.399999999999999">
      <c r="A24" s="547" t="s">
        <v>276</v>
      </c>
      <c r="B24" s="147">
        <v>5838</v>
      </c>
      <c r="C24" s="246">
        <v>0.11799999999999999</v>
      </c>
      <c r="D24" s="247">
        <f t="shared" si="0"/>
        <v>4.7931034482758622E-2</v>
      </c>
      <c r="E24" s="451"/>
    </row>
    <row r="25" spans="1:6" ht="17.399999999999999">
      <c r="A25" s="548" t="s">
        <v>277</v>
      </c>
      <c r="B25" s="391">
        <v>4726</v>
      </c>
      <c r="C25" s="244">
        <v>9.5000000000000001E-2</v>
      </c>
      <c r="D25" s="245">
        <f t="shared" si="0"/>
        <v>3.8801313628899839E-2</v>
      </c>
      <c r="E25" s="451"/>
    </row>
    <row r="26" spans="1:6" ht="17.399999999999999">
      <c r="A26" s="547" t="s">
        <v>278</v>
      </c>
      <c r="B26" s="147">
        <v>4689</v>
      </c>
      <c r="C26" s="246">
        <v>9.5000000000000001E-2</v>
      </c>
      <c r="D26" s="247">
        <f t="shared" si="0"/>
        <v>3.8497536945812809E-2</v>
      </c>
      <c r="E26" s="451"/>
    </row>
    <row r="27" spans="1:6" ht="17.399999999999999">
      <c r="A27" s="548" t="s">
        <v>279</v>
      </c>
      <c r="B27" s="391">
        <v>4568</v>
      </c>
      <c r="C27" s="244">
        <v>9.1999999999999998E-2</v>
      </c>
      <c r="D27" s="245">
        <f t="shared" si="0"/>
        <v>3.750410509031199E-2</v>
      </c>
      <c r="E27" s="451"/>
    </row>
    <row r="28" spans="1:6" ht="17.399999999999999">
      <c r="A28" s="547" t="s">
        <v>280</v>
      </c>
      <c r="B28" s="147">
        <v>4211</v>
      </c>
      <c r="C28" s="248">
        <v>8.5000000000000006E-2</v>
      </c>
      <c r="D28" s="247">
        <f t="shared" si="0"/>
        <v>3.4573070607553366E-2</v>
      </c>
      <c r="E28" s="451"/>
    </row>
    <row r="29" spans="1:6" ht="17.399999999999999">
      <c r="A29" s="548" t="s">
        <v>281</v>
      </c>
      <c r="B29" s="392">
        <v>4077</v>
      </c>
      <c r="C29" s="244">
        <v>8.2000000000000003E-2</v>
      </c>
      <c r="D29" s="245">
        <f t="shared" si="0"/>
        <v>3.3472906403940884E-2</v>
      </c>
      <c r="E29" s="451"/>
    </row>
    <row r="30" spans="1:6" ht="17.399999999999999">
      <c r="A30" s="547" t="s">
        <v>282</v>
      </c>
      <c r="B30" s="147">
        <v>3998</v>
      </c>
      <c r="C30" s="246">
        <v>8.1000000000000003E-2</v>
      </c>
      <c r="D30" s="247">
        <f t="shared" si="0"/>
        <v>3.282430213464696E-2</v>
      </c>
      <c r="E30" s="451"/>
    </row>
    <row r="31" spans="1:6" ht="17.399999999999999">
      <c r="A31" s="548" t="s">
        <v>283</v>
      </c>
      <c r="B31" s="392">
        <v>3370</v>
      </c>
      <c r="C31" s="244">
        <v>6.8000000000000005E-2</v>
      </c>
      <c r="D31" s="245">
        <f t="shared" si="0"/>
        <v>2.7668308702791463E-2</v>
      </c>
      <c r="E31" s="451"/>
    </row>
    <row r="32" spans="1:6" ht="17.399999999999999">
      <c r="A32" s="547" t="s">
        <v>284</v>
      </c>
      <c r="B32" s="147">
        <v>3094</v>
      </c>
      <c r="C32" s="246">
        <v>6.2E-2</v>
      </c>
      <c r="D32" s="247">
        <f t="shared" si="0"/>
        <v>2.5402298850574712E-2</v>
      </c>
      <c r="E32" s="451"/>
    </row>
    <row r="33" spans="1:6" ht="17.399999999999999">
      <c r="A33" s="548" t="s">
        <v>285</v>
      </c>
      <c r="B33" s="392">
        <v>2477</v>
      </c>
      <c r="C33" s="244">
        <v>0.05</v>
      </c>
      <c r="D33" s="245">
        <f t="shared" si="0"/>
        <v>2.0336617405582923E-2</v>
      </c>
      <c r="E33" s="451"/>
    </row>
    <row r="34" spans="1:6" ht="17.399999999999999">
      <c r="A34" s="547" t="s">
        <v>286</v>
      </c>
      <c r="B34" s="147">
        <v>2461</v>
      </c>
      <c r="C34" s="246">
        <v>4.9000000000000002E-2</v>
      </c>
      <c r="D34" s="247">
        <f t="shared" si="0"/>
        <v>2.0205254515599343E-2</v>
      </c>
      <c r="E34" s="451"/>
    </row>
    <row r="35" spans="1:6" ht="18" thickBot="1">
      <c r="A35" s="549" t="s">
        <v>287</v>
      </c>
      <c r="B35" s="393">
        <v>1573</v>
      </c>
      <c r="C35" s="249">
        <v>3.1E-2</v>
      </c>
      <c r="D35" s="250">
        <f t="shared" si="0"/>
        <v>1.2914614121510673E-2</v>
      </c>
      <c r="E35" s="451"/>
    </row>
    <row r="36" spans="1:6">
      <c r="A36" s="505" t="s">
        <v>56</v>
      </c>
      <c r="B36" s="144">
        <f>SUM(B18:B35)</f>
        <v>121800</v>
      </c>
      <c r="C36" s="246"/>
      <c r="D36" s="247">
        <f t="shared" si="0"/>
        <v>1</v>
      </c>
    </row>
    <row r="37" spans="1:6">
      <c r="A37" s="505" t="s">
        <v>1</v>
      </c>
      <c r="B37" s="145">
        <v>3073</v>
      </c>
      <c r="C37" s="246">
        <v>3.1E-2</v>
      </c>
      <c r="D37" s="251"/>
    </row>
    <row r="38" spans="1:6">
      <c r="A38" s="506" t="s">
        <v>78</v>
      </c>
      <c r="B38" s="146">
        <v>187</v>
      </c>
      <c r="C38" s="252">
        <v>6.2E-2</v>
      </c>
      <c r="D38" s="253"/>
    </row>
    <row r="39" spans="1:6">
      <c r="A39" s="550"/>
      <c r="B39" s="147"/>
    </row>
    <row r="41" spans="1:6" ht="32.4">
      <c r="A41" s="528" t="s">
        <v>3</v>
      </c>
      <c r="B41" s="80" t="s">
        <v>4</v>
      </c>
      <c r="C41" s="102" t="s">
        <v>149</v>
      </c>
      <c r="D41" s="103" t="s">
        <v>148</v>
      </c>
      <c r="F41" s="56"/>
    </row>
    <row r="42" spans="1:6" ht="17.399999999999999">
      <c r="A42" s="547" t="s">
        <v>288</v>
      </c>
      <c r="B42" s="394">
        <v>19612</v>
      </c>
      <c r="C42" s="242">
        <v>0.39800000000000002</v>
      </c>
      <c r="D42" s="243">
        <f>B42/40083</f>
        <v>0.48928473417658358</v>
      </c>
      <c r="E42" s="451"/>
    </row>
    <row r="43" spans="1:6" ht="17.399999999999999">
      <c r="A43" s="548" t="s">
        <v>289</v>
      </c>
      <c r="B43" s="391">
        <v>7577</v>
      </c>
      <c r="C43" s="244">
        <v>0.153</v>
      </c>
      <c r="D43" s="245">
        <f t="shared" ref="D43:D46" si="1">B43/40083</f>
        <v>0.18903275702916447</v>
      </c>
      <c r="E43" s="451"/>
    </row>
    <row r="44" spans="1:6" ht="17.399999999999999">
      <c r="A44" s="547" t="s">
        <v>290</v>
      </c>
      <c r="B44" s="143">
        <v>7111</v>
      </c>
      <c r="C44" s="246">
        <v>0.14399999999999999</v>
      </c>
      <c r="D44" s="247">
        <f t="shared" si="1"/>
        <v>0.1774068807225008</v>
      </c>
      <c r="E44" s="451"/>
    </row>
    <row r="45" spans="1:6" ht="18" thickBot="1">
      <c r="A45" s="549" t="s">
        <v>291</v>
      </c>
      <c r="B45" s="393">
        <v>5783</v>
      </c>
      <c r="C45" s="249">
        <v>0.11700000000000001</v>
      </c>
      <c r="D45" s="250">
        <f t="shared" si="1"/>
        <v>0.14427562807175112</v>
      </c>
      <c r="E45" s="451"/>
    </row>
    <row r="46" spans="1:6">
      <c r="A46" s="505" t="s">
        <v>56</v>
      </c>
      <c r="B46" s="145">
        <f>SUM(B42:B45)</f>
        <v>40083</v>
      </c>
      <c r="C46" s="246"/>
      <c r="D46" s="247">
        <f t="shared" si="1"/>
        <v>1</v>
      </c>
    </row>
    <row r="47" spans="1:6">
      <c r="A47" s="505" t="s">
        <v>1</v>
      </c>
      <c r="B47" s="145">
        <v>9023</v>
      </c>
      <c r="C47" s="248">
        <v>0.183</v>
      </c>
      <c r="D47" s="251"/>
    </row>
    <row r="48" spans="1:6">
      <c r="A48" s="506" t="s">
        <v>78</v>
      </c>
      <c r="B48" s="146">
        <v>125</v>
      </c>
      <c r="C48" s="252">
        <v>2E-3</v>
      </c>
      <c r="D48" s="253"/>
    </row>
    <row r="51" spans="1:6" ht="32.4">
      <c r="A51" s="513" t="s">
        <v>8</v>
      </c>
      <c r="B51" s="80" t="s">
        <v>4</v>
      </c>
      <c r="C51" s="102" t="s">
        <v>149</v>
      </c>
      <c r="D51" s="103" t="s">
        <v>148</v>
      </c>
      <c r="F51" s="56"/>
    </row>
    <row r="52" spans="1:6" ht="17.399999999999999">
      <c r="A52" s="547" t="s">
        <v>212</v>
      </c>
      <c r="B52" s="394">
        <v>18495</v>
      </c>
      <c r="C52" s="242">
        <v>0.375</v>
      </c>
      <c r="D52" s="243">
        <f>B52/43506</f>
        <v>0.42511377741001244</v>
      </c>
      <c r="E52" s="451"/>
    </row>
    <row r="53" spans="1:6" ht="17.399999999999999">
      <c r="A53" s="548" t="s">
        <v>292</v>
      </c>
      <c r="B53" s="392">
        <v>5621</v>
      </c>
      <c r="C53" s="254">
        <v>0.114</v>
      </c>
      <c r="D53" s="245">
        <f t="shared" ref="D53:D59" si="2">B53/43506</f>
        <v>0.12920057003631683</v>
      </c>
      <c r="E53" s="451"/>
    </row>
    <row r="54" spans="1:6" ht="17.399999999999999">
      <c r="A54" s="547" t="s">
        <v>293</v>
      </c>
      <c r="B54" s="147">
        <v>5583</v>
      </c>
      <c r="C54" s="248">
        <v>0.113</v>
      </c>
      <c r="D54" s="247">
        <f t="shared" si="2"/>
        <v>0.1283271272927872</v>
      </c>
      <c r="E54" s="451"/>
    </row>
    <row r="55" spans="1:6" ht="17.399999999999999">
      <c r="A55" s="548" t="s">
        <v>294</v>
      </c>
      <c r="B55" s="391">
        <v>5152</v>
      </c>
      <c r="C55" s="244">
        <v>0.104</v>
      </c>
      <c r="D55" s="245">
        <f t="shared" si="2"/>
        <v>0.11842044775433273</v>
      </c>
      <c r="E55" s="451"/>
    </row>
    <row r="56" spans="1:6" ht="17.399999999999999">
      <c r="A56" s="547" t="s">
        <v>295</v>
      </c>
      <c r="B56" s="143">
        <v>5028</v>
      </c>
      <c r="C56" s="246">
        <v>0.10199999999999999</v>
      </c>
      <c r="D56" s="247">
        <f t="shared" si="2"/>
        <v>0.11557026617018343</v>
      </c>
      <c r="E56" s="451"/>
    </row>
    <row r="57" spans="1:6" ht="17.399999999999999">
      <c r="A57" s="548" t="s">
        <v>296</v>
      </c>
      <c r="B57" s="392">
        <v>2379</v>
      </c>
      <c r="C57" s="244">
        <v>4.8000000000000001E-2</v>
      </c>
      <c r="D57" s="245">
        <f t="shared" si="2"/>
        <v>5.4682112812025931E-2</v>
      </c>
      <c r="E57" s="451"/>
    </row>
    <row r="58" spans="1:6" ht="18" thickBot="1">
      <c r="A58" s="551" t="s">
        <v>297</v>
      </c>
      <c r="B58" s="395">
        <v>1248</v>
      </c>
      <c r="C58" s="255">
        <v>2.5000000000000001E-2</v>
      </c>
      <c r="D58" s="256">
        <f t="shared" si="2"/>
        <v>2.8685698524341469E-2</v>
      </c>
      <c r="E58" s="451"/>
    </row>
    <row r="59" spans="1:6">
      <c r="A59" s="505" t="s">
        <v>56</v>
      </c>
      <c r="B59" s="145">
        <f>SUM(B52:B58)</f>
        <v>43506</v>
      </c>
      <c r="C59" s="246"/>
      <c r="D59" s="247">
        <f t="shared" si="2"/>
        <v>1</v>
      </c>
    </row>
    <row r="60" spans="1:6">
      <c r="A60" s="505" t="s">
        <v>1</v>
      </c>
      <c r="B60" s="144">
        <v>5420</v>
      </c>
      <c r="C60" s="246">
        <v>0.11</v>
      </c>
      <c r="D60" s="251"/>
    </row>
    <row r="61" spans="1:6">
      <c r="A61" s="506" t="s">
        <v>78</v>
      </c>
      <c r="B61" s="146">
        <v>305</v>
      </c>
      <c r="C61" s="252">
        <v>6.0000000000000001E-3</v>
      </c>
      <c r="D61" s="253"/>
    </row>
    <row r="64" spans="1:6" ht="38.25" customHeight="1">
      <c r="A64" s="687" t="s">
        <v>123</v>
      </c>
      <c r="B64" s="687"/>
      <c r="C64" s="687"/>
      <c r="D64" s="687"/>
    </row>
  </sheetData>
  <mergeCells count="5">
    <mergeCell ref="A5:D5"/>
    <mergeCell ref="A9:D9"/>
    <mergeCell ref="A2:D2"/>
    <mergeCell ref="A64:D64"/>
    <mergeCell ref="A14:D1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1"/>
  <sheetViews>
    <sheetView topLeftCell="A7" workbookViewId="0">
      <selection activeCell="A6" sqref="A6"/>
    </sheetView>
  </sheetViews>
  <sheetFormatPr defaultColWidth="8.59765625" defaultRowHeight="13.8"/>
  <cols>
    <col min="1" max="1" width="89.296875" style="67" customWidth="1"/>
    <col min="2" max="16384" width="8.59765625" style="4"/>
  </cols>
  <sheetData>
    <row r="1" spans="1:1" ht="20.399999999999999">
      <c r="A1" s="68" t="s">
        <v>188</v>
      </c>
    </row>
    <row r="2" spans="1:1" ht="20.399999999999999">
      <c r="A2" s="68" t="s">
        <v>187</v>
      </c>
    </row>
    <row r="3" spans="1:1">
      <c r="A3" s="61"/>
    </row>
    <row r="4" spans="1:1">
      <c r="A4" s="61"/>
    </row>
    <row r="5" spans="1:1" ht="14.4" thickBot="1">
      <c r="A5" s="61"/>
    </row>
    <row r="6" spans="1:1" ht="48" customHeight="1" thickBot="1">
      <c r="A6" s="642" t="s">
        <v>157</v>
      </c>
    </row>
    <row r="8" spans="1:1" s="63" customFormat="1" ht="13.2">
      <c r="A8" s="62"/>
    </row>
    <row r="9" spans="1:1" ht="27.6">
      <c r="A9" s="69" t="s">
        <v>158</v>
      </c>
    </row>
    <row r="11" spans="1:1" ht="27.6">
      <c r="A11" s="69" t="s">
        <v>159</v>
      </c>
    </row>
    <row r="13" spans="1:1" ht="27.6">
      <c r="A13" s="69" t="s">
        <v>160</v>
      </c>
    </row>
    <row r="14" spans="1:1">
      <c r="A14" s="64"/>
    </row>
    <row r="15" spans="1:1">
      <c r="A15" s="70" t="s">
        <v>161</v>
      </c>
    </row>
    <row r="16" spans="1:1">
      <c r="A16" s="69" t="s">
        <v>162</v>
      </c>
    </row>
    <row r="17" spans="1:1" ht="14.4">
      <c r="A17" s="71" t="s">
        <v>186</v>
      </c>
    </row>
    <row r="18" spans="1:1">
      <c r="A18" s="72" t="s">
        <v>163</v>
      </c>
    </row>
    <row r="19" spans="1:1">
      <c r="A19" s="64"/>
    </row>
    <row r="20" spans="1:1">
      <c r="A20" s="70" t="s">
        <v>164</v>
      </c>
    </row>
    <row r="21" spans="1:1">
      <c r="A21" s="72" t="s">
        <v>165</v>
      </c>
    </row>
    <row r="22" spans="1:1" ht="27.6">
      <c r="A22" s="72" t="s">
        <v>166</v>
      </c>
    </row>
    <row r="23" spans="1:1" ht="55.2">
      <c r="A23" s="72" t="s">
        <v>167</v>
      </c>
    </row>
    <row r="26" spans="1:1">
      <c r="A26" s="70" t="s">
        <v>168</v>
      </c>
    </row>
    <row r="27" spans="1:1">
      <c r="A27" s="69" t="s">
        <v>169</v>
      </c>
    </row>
    <row r="28" spans="1:1">
      <c r="A28" s="64"/>
    </row>
    <row r="29" spans="1:1">
      <c r="A29" s="72" t="s">
        <v>165</v>
      </c>
    </row>
    <row r="30" spans="1:1" ht="41.4">
      <c r="A30" s="72" t="s">
        <v>170</v>
      </c>
    </row>
    <row r="31" spans="1:1" ht="55.2">
      <c r="A31" s="72" t="s">
        <v>167</v>
      </c>
    </row>
    <row r="32" spans="1:1">
      <c r="A32" s="69"/>
    </row>
    <row r="33" spans="1:16">
      <c r="A33" s="69" t="s">
        <v>171</v>
      </c>
    </row>
    <row r="34" spans="1:16">
      <c r="A34" s="72" t="s">
        <v>172</v>
      </c>
    </row>
    <row r="35" spans="1:16" ht="27.6">
      <c r="A35" s="72" t="s">
        <v>173</v>
      </c>
    </row>
    <row r="36" spans="1:16">
      <c r="A36" s="72" t="s">
        <v>174</v>
      </c>
    </row>
    <row r="37" spans="1:16" ht="55.8">
      <c r="A37" s="73" t="s">
        <v>175</v>
      </c>
    </row>
    <row r="38" spans="1:16" ht="41.4">
      <c r="A38" s="65" t="s">
        <v>176</v>
      </c>
    </row>
    <row r="39" spans="1:16">
      <c r="A39" s="64"/>
    </row>
    <row r="40" spans="1:16">
      <c r="A40" s="679"/>
      <c r="B40" s="680"/>
      <c r="C40" s="680"/>
      <c r="D40" s="680"/>
      <c r="E40" s="680"/>
      <c r="F40" s="680"/>
      <c r="G40" s="680"/>
      <c r="H40" s="680"/>
      <c r="I40" s="680"/>
      <c r="J40" s="680"/>
      <c r="K40" s="680"/>
      <c r="L40" s="680"/>
      <c r="M40" s="680"/>
      <c r="N40" s="680"/>
      <c r="O40" s="680"/>
      <c r="P40" s="680"/>
    </row>
    <row r="41" spans="1:16">
      <c r="A41" s="61"/>
    </row>
    <row r="43" spans="1:16">
      <c r="A43" s="66" t="s">
        <v>177</v>
      </c>
    </row>
    <row r="44" spans="1:16">
      <c r="A44" s="61"/>
    </row>
    <row r="45" spans="1:16">
      <c r="A45" s="60" t="s">
        <v>178</v>
      </c>
    </row>
    <row r="46" spans="1:16">
      <c r="A46" s="60" t="s">
        <v>179</v>
      </c>
    </row>
    <row r="47" spans="1:16">
      <c r="A47" s="60" t="s">
        <v>180</v>
      </c>
    </row>
    <row r="48" spans="1:16">
      <c r="A48" s="60" t="s">
        <v>181</v>
      </c>
    </row>
    <row r="49" spans="1:1">
      <c r="A49" s="60" t="s">
        <v>182</v>
      </c>
    </row>
    <row r="50" spans="1:1">
      <c r="A50" s="60" t="s">
        <v>183</v>
      </c>
    </row>
    <row r="51" spans="1:1">
      <c r="A51" s="61"/>
    </row>
  </sheetData>
  <mergeCells count="1">
    <mergeCell ref="A40:P40"/>
  </mergeCells>
  <pageMargins left="0.7" right="0.7" top="0.75" bottom="0.75" header="0.3" footer="0.3"/>
  <pageSetup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58"/>
  <sheetViews>
    <sheetView topLeftCell="A44" workbookViewId="0">
      <selection activeCell="A44" sqref="A1:A1048576"/>
    </sheetView>
  </sheetViews>
  <sheetFormatPr defaultColWidth="9" defaultRowHeight="13.8"/>
  <cols>
    <col min="1" max="1" width="36.59765625" style="563" customWidth="1"/>
    <col min="2" max="2" width="10.59765625" style="150" customWidth="1"/>
    <col min="3" max="4" width="10.59765625" style="189" customWidth="1"/>
    <col min="5" max="16384" width="9" style="30"/>
  </cols>
  <sheetData>
    <row r="2" spans="1:4" ht="28.5" customHeight="1">
      <c r="A2" s="705" t="s">
        <v>88</v>
      </c>
      <c r="B2" s="706"/>
      <c r="C2" s="706"/>
      <c r="D2" s="707"/>
    </row>
    <row r="3" spans="1:4">
      <c r="A3" s="552" t="s">
        <v>74</v>
      </c>
    </row>
    <row r="5" spans="1:4" ht="30" customHeight="1">
      <c r="A5" s="708" t="s">
        <v>57</v>
      </c>
      <c r="B5" s="708"/>
      <c r="C5" s="708"/>
      <c r="D5" s="708"/>
    </row>
    <row r="9" spans="1:4" ht="28.5" customHeight="1">
      <c r="A9" s="694" t="s">
        <v>89</v>
      </c>
      <c r="B9" s="695"/>
      <c r="C9" s="695"/>
      <c r="D9" s="696"/>
    </row>
    <row r="10" spans="1:4">
      <c r="A10" s="552" t="s">
        <v>63</v>
      </c>
    </row>
    <row r="11" spans="1:4">
      <c r="A11" s="552"/>
    </row>
    <row r="12" spans="1:4">
      <c r="A12" s="553" t="s">
        <v>69</v>
      </c>
      <c r="B12" s="155">
        <v>63452</v>
      </c>
      <c r="C12" s="190"/>
      <c r="D12" s="190"/>
    </row>
    <row r="13" spans="1:4">
      <c r="A13" s="554" t="s">
        <v>68</v>
      </c>
      <c r="B13" s="156">
        <v>48238</v>
      </c>
      <c r="C13" s="234">
        <v>0.76</v>
      </c>
      <c r="D13" s="191"/>
    </row>
    <row r="14" spans="1:4" ht="29.55" customHeight="1">
      <c r="A14" s="736" t="s">
        <v>150</v>
      </c>
      <c r="B14" s="736"/>
      <c r="C14" s="736"/>
      <c r="D14" s="736"/>
    </row>
    <row r="15" spans="1:4">
      <c r="A15" s="552"/>
    </row>
    <row r="17" spans="1:6" ht="32.4">
      <c r="A17" s="528" t="s">
        <v>7</v>
      </c>
      <c r="B17" s="80" t="s">
        <v>4</v>
      </c>
      <c r="C17" s="102" t="s">
        <v>149</v>
      </c>
      <c r="D17" s="103" t="s">
        <v>148</v>
      </c>
      <c r="F17" s="56"/>
    </row>
    <row r="18" spans="1:6" ht="17.399999999999999">
      <c r="A18" s="555" t="s">
        <v>298</v>
      </c>
      <c r="B18" s="396">
        <v>13088</v>
      </c>
      <c r="C18" s="209">
        <v>0.27100000000000002</v>
      </c>
      <c r="D18" s="210">
        <f>B18/43997</f>
        <v>0.29747482782917017</v>
      </c>
      <c r="E18" s="451"/>
    </row>
    <row r="19" spans="1:6" ht="17.399999999999999">
      <c r="A19" s="514" t="s">
        <v>288</v>
      </c>
      <c r="B19" s="397">
        <v>10401</v>
      </c>
      <c r="C19" s="211">
        <v>0.215</v>
      </c>
      <c r="D19" s="212">
        <f t="shared" ref="D19:D28" si="0">B19/43997</f>
        <v>0.23640248198740824</v>
      </c>
      <c r="E19" s="451"/>
    </row>
    <row r="20" spans="1:6" ht="17.399999999999999">
      <c r="A20" s="555" t="s">
        <v>299</v>
      </c>
      <c r="B20" s="398">
        <v>7536</v>
      </c>
      <c r="C20" s="198">
        <v>0.156</v>
      </c>
      <c r="D20" s="213">
        <f t="shared" si="0"/>
        <v>0.17128440575493784</v>
      </c>
      <c r="E20" s="451"/>
    </row>
    <row r="21" spans="1:6" ht="17.399999999999999">
      <c r="A21" s="514" t="s">
        <v>276</v>
      </c>
      <c r="B21" s="397">
        <v>3173</v>
      </c>
      <c r="C21" s="211">
        <v>6.5000000000000002E-2</v>
      </c>
      <c r="D21" s="212">
        <f t="shared" si="0"/>
        <v>7.2118553537741215E-2</v>
      </c>
      <c r="E21" s="451"/>
    </row>
    <row r="22" spans="1:6" ht="17.399999999999999">
      <c r="A22" s="555" t="s">
        <v>218</v>
      </c>
      <c r="B22" s="398">
        <v>3108</v>
      </c>
      <c r="C22" s="198">
        <v>6.4000000000000001E-2</v>
      </c>
      <c r="D22" s="213">
        <f t="shared" si="0"/>
        <v>7.0641180080460025E-2</v>
      </c>
      <c r="E22" s="451"/>
    </row>
    <row r="23" spans="1:6" ht="17.399999999999999">
      <c r="A23" s="514" t="s">
        <v>300</v>
      </c>
      <c r="B23" s="397">
        <v>1643</v>
      </c>
      <c r="C23" s="211">
        <v>3.4000000000000002E-2</v>
      </c>
      <c r="D23" s="212">
        <f t="shared" si="0"/>
        <v>3.7343455235584244E-2</v>
      </c>
      <c r="E23" s="451"/>
    </row>
    <row r="24" spans="1:6" ht="17.399999999999999">
      <c r="A24" s="555" t="s">
        <v>278</v>
      </c>
      <c r="B24" s="398">
        <v>1613</v>
      </c>
      <c r="C24" s="198">
        <v>3.3000000000000002E-2</v>
      </c>
      <c r="D24" s="213">
        <f t="shared" si="0"/>
        <v>3.6661590562992931E-2</v>
      </c>
      <c r="E24" s="451"/>
    </row>
    <row r="25" spans="1:6" ht="17.399999999999999">
      <c r="A25" s="514" t="s">
        <v>301</v>
      </c>
      <c r="B25" s="397">
        <v>1219</v>
      </c>
      <c r="C25" s="211">
        <v>2.5000000000000001E-2</v>
      </c>
      <c r="D25" s="212">
        <f t="shared" si="0"/>
        <v>2.7706434529627021E-2</v>
      </c>
      <c r="E25" s="451"/>
    </row>
    <row r="26" spans="1:6" ht="17.399999999999999">
      <c r="A26" s="555" t="s">
        <v>302</v>
      </c>
      <c r="B26" s="398">
        <v>1185</v>
      </c>
      <c r="C26" s="198">
        <v>2.4E-2</v>
      </c>
      <c r="D26" s="213">
        <f t="shared" si="0"/>
        <v>2.6933654567356864E-2</v>
      </c>
      <c r="E26" s="451"/>
    </row>
    <row r="27" spans="1:6" ht="18" thickBot="1">
      <c r="A27" s="508" t="s">
        <v>303</v>
      </c>
      <c r="B27" s="399">
        <v>1031</v>
      </c>
      <c r="C27" s="214">
        <v>2.1000000000000001E-2</v>
      </c>
      <c r="D27" s="215">
        <f t="shared" si="0"/>
        <v>2.3433415914721457E-2</v>
      </c>
      <c r="E27" s="451"/>
    </row>
    <row r="28" spans="1:6">
      <c r="A28" s="556" t="s">
        <v>56</v>
      </c>
      <c r="B28" s="152">
        <f>SUM(B18:B27)</f>
        <v>43997</v>
      </c>
      <c r="C28" s="198"/>
      <c r="D28" s="213">
        <f t="shared" si="0"/>
        <v>1</v>
      </c>
    </row>
    <row r="29" spans="1:6">
      <c r="A29" s="557" t="s">
        <v>1</v>
      </c>
      <c r="B29" s="152">
        <v>2810</v>
      </c>
      <c r="C29" s="198">
        <v>5.8000000000000003E-2</v>
      </c>
      <c r="D29" s="201"/>
    </row>
    <row r="30" spans="1:6">
      <c r="A30" s="558" t="s">
        <v>78</v>
      </c>
      <c r="B30" s="154">
        <v>1431</v>
      </c>
      <c r="C30" s="202">
        <v>2.9000000000000001E-2</v>
      </c>
      <c r="D30" s="203"/>
    </row>
    <row r="33" spans="1:6" ht="32.4">
      <c r="A33" s="525" t="s">
        <v>6</v>
      </c>
      <c r="B33" s="80" t="s">
        <v>4</v>
      </c>
      <c r="C33" s="102" t="s">
        <v>149</v>
      </c>
      <c r="D33" s="103" t="s">
        <v>148</v>
      </c>
      <c r="F33" s="56"/>
    </row>
    <row r="34" spans="1:6" ht="17.399999999999999">
      <c r="A34" s="555" t="s">
        <v>200</v>
      </c>
      <c r="B34" s="396">
        <v>19584</v>
      </c>
      <c r="C34" s="192">
        <v>0.40500000000000003</v>
      </c>
      <c r="D34" s="193">
        <f>B34/43953</f>
        <v>0.44556685550474373</v>
      </c>
      <c r="E34" s="451"/>
    </row>
    <row r="35" spans="1:6" ht="17.399999999999999">
      <c r="A35" s="514" t="s">
        <v>304</v>
      </c>
      <c r="B35" s="397">
        <v>18030</v>
      </c>
      <c r="C35" s="194">
        <v>0.373</v>
      </c>
      <c r="D35" s="195">
        <f t="shared" ref="D35:D37" si="1">B35/43953</f>
        <v>0.41021090710531705</v>
      </c>
      <c r="E35" s="451"/>
    </row>
    <row r="36" spans="1:6" ht="18" thickBot="1">
      <c r="A36" s="559" t="s">
        <v>305</v>
      </c>
      <c r="B36" s="400">
        <v>6339</v>
      </c>
      <c r="C36" s="204">
        <v>0.13100000000000001</v>
      </c>
      <c r="D36" s="205">
        <f t="shared" si="1"/>
        <v>0.14422223738993925</v>
      </c>
      <c r="E36" s="451"/>
    </row>
    <row r="37" spans="1:6">
      <c r="A37" s="556" t="s">
        <v>56</v>
      </c>
      <c r="B37" s="152">
        <f>SUM(B34:B36)</f>
        <v>43953</v>
      </c>
      <c r="C37" s="196"/>
      <c r="D37" s="197">
        <f t="shared" si="1"/>
        <v>1</v>
      </c>
    </row>
    <row r="38" spans="1:6">
      <c r="A38" s="557" t="s">
        <v>1</v>
      </c>
      <c r="B38" s="152">
        <v>4236</v>
      </c>
      <c r="C38" s="196">
        <v>8.6999999999999994E-2</v>
      </c>
      <c r="D38" s="206"/>
    </row>
    <row r="39" spans="1:6">
      <c r="A39" s="558" t="s">
        <v>78</v>
      </c>
      <c r="B39" s="154">
        <v>49</v>
      </c>
      <c r="C39" s="207">
        <v>1E-3</v>
      </c>
      <c r="D39" s="208"/>
    </row>
    <row r="42" spans="1:6" ht="32.4">
      <c r="A42" s="525" t="s">
        <v>2</v>
      </c>
      <c r="B42" s="80" t="s">
        <v>4</v>
      </c>
      <c r="C42" s="102" t="s">
        <v>149</v>
      </c>
      <c r="D42" s="103" t="s">
        <v>148</v>
      </c>
      <c r="F42" s="56"/>
    </row>
    <row r="43" spans="1:6" ht="17.399999999999999">
      <c r="A43" s="555" t="s">
        <v>306</v>
      </c>
      <c r="B43" s="396">
        <v>33985</v>
      </c>
      <c r="C43" s="192">
        <v>0.70399999999999996</v>
      </c>
      <c r="D43" s="193">
        <f>B43/40982</f>
        <v>0.82926650724708406</v>
      </c>
      <c r="E43" s="451"/>
    </row>
    <row r="44" spans="1:6" ht="18" thickBot="1">
      <c r="A44" s="560" t="s">
        <v>307</v>
      </c>
      <c r="B44" s="399">
        <v>6997</v>
      </c>
      <c r="C44" s="199">
        <v>0.186</v>
      </c>
      <c r="D44" s="200">
        <f t="shared" ref="D44:D45" si="2">B44/40982</f>
        <v>0.17073349275291591</v>
      </c>
      <c r="E44" s="451"/>
    </row>
    <row r="45" spans="1:6">
      <c r="A45" s="556" t="s">
        <v>56</v>
      </c>
      <c r="B45" s="152">
        <f>SUM(B43:B44)</f>
        <v>40982</v>
      </c>
      <c r="C45" s="196"/>
      <c r="D45" s="197">
        <f t="shared" si="2"/>
        <v>1</v>
      </c>
    </row>
    <row r="46" spans="1:6">
      <c r="A46" s="557" t="s">
        <v>1</v>
      </c>
      <c r="B46" s="152">
        <v>5244</v>
      </c>
      <c r="C46" s="196">
        <v>0.108</v>
      </c>
      <c r="D46" s="206"/>
    </row>
    <row r="47" spans="1:6">
      <c r="A47" s="558" t="s">
        <v>78</v>
      </c>
      <c r="B47" s="154">
        <v>12</v>
      </c>
      <c r="C47" s="207">
        <v>0</v>
      </c>
      <c r="D47" s="208"/>
    </row>
    <row r="50" spans="1:6" ht="32.4">
      <c r="A50" s="525" t="s">
        <v>5</v>
      </c>
      <c r="B50" s="80" t="s">
        <v>4</v>
      </c>
      <c r="C50" s="102" t="s">
        <v>149</v>
      </c>
      <c r="D50" s="103" t="s">
        <v>148</v>
      </c>
      <c r="F50" s="56"/>
    </row>
    <row r="51" spans="1:6" ht="17.399999999999999">
      <c r="A51" s="561" t="s">
        <v>227</v>
      </c>
      <c r="B51" s="151">
        <v>30238</v>
      </c>
      <c r="C51" s="235">
        <v>0.626</v>
      </c>
      <c r="D51" s="193">
        <f>B51/41526</f>
        <v>0.72817030294273466</v>
      </c>
      <c r="E51" s="451"/>
    </row>
    <row r="52" spans="1:6" ht="18" thickBot="1">
      <c r="A52" s="562" t="s">
        <v>308</v>
      </c>
      <c r="B52" s="153">
        <v>11288</v>
      </c>
      <c r="C52" s="236">
        <v>0.23400000000000001</v>
      </c>
      <c r="D52" s="200">
        <f t="shared" ref="D52:D53" si="3">B52/41526</f>
        <v>0.27182969705726534</v>
      </c>
      <c r="E52" s="451"/>
    </row>
    <row r="53" spans="1:6">
      <c r="A53" s="557" t="s">
        <v>56</v>
      </c>
      <c r="B53" s="152">
        <f>SUM(B51:B52)</f>
        <v>41526</v>
      </c>
      <c r="C53" s="237"/>
      <c r="D53" s="197">
        <f t="shared" si="3"/>
        <v>1</v>
      </c>
    </row>
    <row r="54" spans="1:6">
      <c r="A54" s="557" t="s">
        <v>1</v>
      </c>
      <c r="B54" s="152">
        <v>6698</v>
      </c>
      <c r="C54" s="237">
        <v>0.13800000000000001</v>
      </c>
      <c r="D54" s="206"/>
    </row>
    <row r="55" spans="1:6">
      <c r="A55" s="558" t="s">
        <v>78</v>
      </c>
      <c r="B55" s="154">
        <v>14</v>
      </c>
      <c r="C55" s="238">
        <v>0</v>
      </c>
      <c r="D55" s="208"/>
    </row>
    <row r="58" spans="1:6" ht="63.75" customHeight="1">
      <c r="A58" s="738" t="s">
        <v>122</v>
      </c>
      <c r="B58" s="738"/>
      <c r="C58" s="738"/>
      <c r="D58" s="738"/>
    </row>
  </sheetData>
  <mergeCells count="5">
    <mergeCell ref="A5:D5"/>
    <mergeCell ref="A9:D9"/>
    <mergeCell ref="A2:D2"/>
    <mergeCell ref="A58:D58"/>
    <mergeCell ref="A14:D14"/>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67"/>
  <sheetViews>
    <sheetView topLeftCell="A7" zoomScaleNormal="100" workbookViewId="0">
      <selection activeCell="A4" sqref="A1:A1048576"/>
    </sheetView>
  </sheetViews>
  <sheetFormatPr defaultColWidth="9" defaultRowHeight="13.8"/>
  <cols>
    <col min="1" max="1" width="36.09765625" style="501" customWidth="1"/>
    <col min="2" max="2" width="10.59765625" style="74" customWidth="1"/>
    <col min="3" max="4" width="10.59765625" style="83" customWidth="1"/>
    <col min="5" max="16384" width="9" style="5"/>
  </cols>
  <sheetData>
    <row r="2" spans="1:4" ht="29.25" customHeight="1">
      <c r="A2" s="705" t="s">
        <v>86</v>
      </c>
      <c r="B2" s="706"/>
      <c r="C2" s="706"/>
      <c r="D2" s="707"/>
    </row>
    <row r="3" spans="1:4">
      <c r="A3" s="534" t="s">
        <v>71</v>
      </c>
    </row>
    <row r="5" spans="1:4" ht="29.25" customHeight="1">
      <c r="A5" s="708" t="s">
        <v>57</v>
      </c>
      <c r="B5" s="708"/>
      <c r="C5" s="708"/>
      <c r="D5" s="708"/>
    </row>
    <row r="6" spans="1:4">
      <c r="A6" s="545"/>
    </row>
    <row r="9" spans="1:4" ht="27.75" customHeight="1">
      <c r="A9" s="694" t="s">
        <v>87</v>
      </c>
      <c r="B9" s="695"/>
      <c r="C9" s="695"/>
      <c r="D9" s="696"/>
    </row>
    <row r="10" spans="1:4">
      <c r="A10" s="534" t="s">
        <v>62</v>
      </c>
    </row>
    <row r="11" spans="1:4">
      <c r="A11" s="534"/>
    </row>
    <row r="12" spans="1:4">
      <c r="A12" s="536" t="s">
        <v>69</v>
      </c>
      <c r="B12" s="155">
        <v>59895</v>
      </c>
      <c r="C12" s="221"/>
      <c r="D12" s="221"/>
    </row>
    <row r="13" spans="1:4">
      <c r="A13" s="537" t="s">
        <v>68</v>
      </c>
      <c r="B13" s="156">
        <v>47420</v>
      </c>
      <c r="C13" s="234">
        <v>0.79200000000000004</v>
      </c>
      <c r="D13" s="222"/>
    </row>
    <row r="14" spans="1:4" ht="29.55" customHeight="1">
      <c r="A14" s="736" t="s">
        <v>150</v>
      </c>
      <c r="B14" s="736"/>
      <c r="C14" s="736"/>
      <c r="D14" s="736"/>
    </row>
    <row r="15" spans="1:4">
      <c r="A15" s="534"/>
    </row>
    <row r="17" spans="1:6" ht="32.4">
      <c r="A17" s="542" t="s">
        <v>9</v>
      </c>
      <c r="B17" s="80" t="s">
        <v>4</v>
      </c>
      <c r="C17" s="102" t="s">
        <v>149</v>
      </c>
      <c r="D17" s="103" t="s">
        <v>148</v>
      </c>
      <c r="F17" s="56"/>
    </row>
    <row r="18" spans="1:6" ht="17.399999999999999">
      <c r="A18" s="564" t="s">
        <v>316</v>
      </c>
      <c r="B18" s="141">
        <v>14118</v>
      </c>
      <c r="C18" s="223">
        <v>0.29699999999999999</v>
      </c>
      <c r="D18" s="96">
        <f>B18/121438</f>
        <v>0.11625685535005517</v>
      </c>
      <c r="E18" s="451"/>
    </row>
    <row r="19" spans="1:6" ht="17.399999999999999">
      <c r="A19" s="565" t="s">
        <v>317</v>
      </c>
      <c r="B19" s="401">
        <v>14026</v>
      </c>
      <c r="C19" s="224">
        <v>0.29499999999999998</v>
      </c>
      <c r="D19" s="225">
        <f t="shared" ref="D19:D41" si="0">B19/121438</f>
        <v>0.11549926711572983</v>
      </c>
      <c r="E19" s="451"/>
    </row>
    <row r="20" spans="1:6" ht="17.399999999999999">
      <c r="A20" s="564" t="s">
        <v>318</v>
      </c>
      <c r="B20" s="406">
        <v>12608</v>
      </c>
      <c r="C20" s="226">
        <v>0.26500000000000001</v>
      </c>
      <c r="D20" s="101">
        <f t="shared" si="0"/>
        <v>0.10382252672145457</v>
      </c>
      <c r="E20" s="451"/>
    </row>
    <row r="21" spans="1:6" ht="17.399999999999999">
      <c r="A21" s="565" t="s">
        <v>319</v>
      </c>
      <c r="B21" s="401">
        <v>11859</v>
      </c>
      <c r="C21" s="224">
        <v>0.25</v>
      </c>
      <c r="D21" s="225">
        <f t="shared" si="0"/>
        <v>9.765477033547984E-2</v>
      </c>
      <c r="E21" s="451"/>
    </row>
    <row r="22" spans="1:6" ht="17.399999999999999">
      <c r="A22" s="564" t="s">
        <v>320</v>
      </c>
      <c r="B22" s="406">
        <v>10537</v>
      </c>
      <c r="C22" s="226">
        <v>0.222</v>
      </c>
      <c r="D22" s="101">
        <f t="shared" si="0"/>
        <v>8.6768556794413615E-2</v>
      </c>
      <c r="E22" s="451"/>
    </row>
    <row r="23" spans="1:6" ht="17.399999999999999">
      <c r="A23" s="565" t="s">
        <v>321</v>
      </c>
      <c r="B23" s="402">
        <v>6176</v>
      </c>
      <c r="C23" s="224">
        <v>0.13</v>
      </c>
      <c r="D23" s="225">
        <f t="shared" si="0"/>
        <v>5.0857227556448559E-2</v>
      </c>
      <c r="E23" s="451"/>
    </row>
    <row r="24" spans="1:6" ht="17.399999999999999">
      <c r="A24" s="564" t="s">
        <v>322</v>
      </c>
      <c r="B24" s="406">
        <v>5297</v>
      </c>
      <c r="C24" s="226">
        <v>0.111</v>
      </c>
      <c r="D24" s="101">
        <f t="shared" si="0"/>
        <v>4.3618966056753243E-2</v>
      </c>
      <c r="E24" s="451"/>
    </row>
    <row r="25" spans="1:6" ht="17.399999999999999">
      <c r="A25" s="514" t="s">
        <v>278</v>
      </c>
      <c r="B25" s="401">
        <v>5105</v>
      </c>
      <c r="C25" s="224">
        <v>0.107</v>
      </c>
      <c r="D25" s="225">
        <f t="shared" si="0"/>
        <v>4.2037912350335153E-2</v>
      </c>
      <c r="E25" s="451"/>
    </row>
    <row r="26" spans="1:6" ht="17.399999999999999">
      <c r="A26" s="564" t="s">
        <v>323</v>
      </c>
      <c r="B26" s="119">
        <v>4301</v>
      </c>
      <c r="C26" s="226">
        <v>0.09</v>
      </c>
      <c r="D26" s="101">
        <f t="shared" si="0"/>
        <v>3.54172499547094E-2</v>
      </c>
      <c r="E26" s="451"/>
    </row>
    <row r="27" spans="1:6" ht="17.399999999999999">
      <c r="A27" s="565" t="s">
        <v>281</v>
      </c>
      <c r="B27" s="401">
        <v>4091</v>
      </c>
      <c r="C27" s="224">
        <v>8.5999999999999993E-2</v>
      </c>
      <c r="D27" s="225">
        <f t="shared" si="0"/>
        <v>3.3687972463314612E-2</v>
      </c>
      <c r="E27" s="451"/>
    </row>
    <row r="28" spans="1:6" ht="17.399999999999999">
      <c r="A28" s="564" t="s">
        <v>324</v>
      </c>
      <c r="B28" s="406">
        <v>3802</v>
      </c>
      <c r="C28" s="226">
        <v>0.08</v>
      </c>
      <c r="D28" s="101">
        <f t="shared" si="0"/>
        <v>3.1308157248966552E-2</v>
      </c>
      <c r="E28" s="451"/>
    </row>
    <row r="29" spans="1:6" ht="17.399999999999999">
      <c r="A29" s="514" t="s">
        <v>325</v>
      </c>
      <c r="B29" s="402">
        <v>3466</v>
      </c>
      <c r="C29" s="224">
        <v>7.2999999999999995E-2</v>
      </c>
      <c r="D29" s="225">
        <f t="shared" si="0"/>
        <v>2.8541313262734895E-2</v>
      </c>
      <c r="E29" s="451"/>
    </row>
    <row r="30" spans="1:6" ht="17.399999999999999">
      <c r="A30" s="493" t="s">
        <v>326</v>
      </c>
      <c r="B30" s="119">
        <v>3463</v>
      </c>
      <c r="C30" s="226">
        <v>7.2999999999999995E-2</v>
      </c>
      <c r="D30" s="101">
        <f t="shared" si="0"/>
        <v>2.851660929857211E-2</v>
      </c>
      <c r="E30" s="451"/>
    </row>
    <row r="31" spans="1:6" ht="17.399999999999999">
      <c r="A31" s="565" t="s">
        <v>327</v>
      </c>
      <c r="B31" s="402">
        <v>3085</v>
      </c>
      <c r="C31" s="224">
        <v>6.5000000000000002E-2</v>
      </c>
      <c r="D31" s="225">
        <f t="shared" si="0"/>
        <v>2.5403909814061498E-2</v>
      </c>
      <c r="E31" s="451"/>
    </row>
    <row r="32" spans="1:6" ht="17.399999999999999">
      <c r="A32" s="564" t="s">
        <v>328</v>
      </c>
      <c r="B32" s="119">
        <v>3066</v>
      </c>
      <c r="C32" s="226">
        <v>6.4000000000000001E-2</v>
      </c>
      <c r="D32" s="101">
        <f t="shared" si="0"/>
        <v>2.5247451374363874E-2</v>
      </c>
      <c r="E32" s="451"/>
    </row>
    <row r="33" spans="1:6" ht="17.399999999999999">
      <c r="A33" s="565" t="s">
        <v>329</v>
      </c>
      <c r="B33" s="402">
        <v>2888</v>
      </c>
      <c r="C33" s="224">
        <v>0.06</v>
      </c>
      <c r="D33" s="225">
        <f t="shared" si="0"/>
        <v>2.3781682834038767E-2</v>
      </c>
      <c r="E33" s="451"/>
    </row>
    <row r="34" spans="1:6" ht="17.399999999999999">
      <c r="A34" s="564" t="s">
        <v>330</v>
      </c>
      <c r="B34" s="119">
        <v>2436</v>
      </c>
      <c r="C34" s="226">
        <v>5.0999999999999997E-2</v>
      </c>
      <c r="D34" s="101">
        <f t="shared" si="0"/>
        <v>2.0059618900179516E-2</v>
      </c>
      <c r="E34" s="451"/>
    </row>
    <row r="35" spans="1:6" ht="17.399999999999999">
      <c r="A35" s="514" t="s">
        <v>331</v>
      </c>
      <c r="B35" s="402">
        <v>2381</v>
      </c>
      <c r="C35" s="224">
        <v>0.05</v>
      </c>
      <c r="D35" s="225">
        <f t="shared" si="0"/>
        <v>1.96067128905285E-2</v>
      </c>
      <c r="E35" s="451"/>
    </row>
    <row r="36" spans="1:6" ht="17.399999999999999">
      <c r="A36" s="493" t="s">
        <v>332</v>
      </c>
      <c r="B36" s="119">
        <v>2314</v>
      </c>
      <c r="C36" s="226">
        <v>4.8000000000000001E-2</v>
      </c>
      <c r="D36" s="101">
        <f t="shared" si="0"/>
        <v>1.9054991024226354E-2</v>
      </c>
      <c r="E36" s="451"/>
    </row>
    <row r="37" spans="1:6" ht="17.399999999999999">
      <c r="A37" s="565" t="s">
        <v>333</v>
      </c>
      <c r="B37" s="401">
        <v>2004</v>
      </c>
      <c r="C37" s="227">
        <v>4.2000000000000003E-2</v>
      </c>
      <c r="D37" s="225">
        <f t="shared" si="0"/>
        <v>1.6502248060738814E-2</v>
      </c>
      <c r="E37" s="451"/>
    </row>
    <row r="38" spans="1:6" ht="17.399999999999999">
      <c r="A38" s="493" t="s">
        <v>334</v>
      </c>
      <c r="B38" s="119">
        <v>1710</v>
      </c>
      <c r="C38" s="226">
        <v>3.5999999999999997E-2</v>
      </c>
      <c r="D38" s="101">
        <f t="shared" si="0"/>
        <v>1.4081259572786112E-2</v>
      </c>
      <c r="E38" s="451"/>
    </row>
    <row r="39" spans="1:6" ht="17.399999999999999">
      <c r="A39" s="514" t="s">
        <v>335</v>
      </c>
      <c r="B39" s="402">
        <v>1683</v>
      </c>
      <c r="C39" s="224">
        <v>3.5000000000000003E-2</v>
      </c>
      <c r="D39" s="225">
        <f t="shared" si="0"/>
        <v>1.3858923895321069E-2</v>
      </c>
      <c r="E39" s="451"/>
    </row>
    <row r="40" spans="1:6" ht="18" thickBot="1">
      <c r="A40" s="566" t="s">
        <v>507</v>
      </c>
      <c r="B40" s="403">
        <v>1022</v>
      </c>
      <c r="C40" s="228">
        <v>2.1000000000000001E-2</v>
      </c>
      <c r="D40" s="89">
        <f t="shared" si="0"/>
        <v>8.4158171247879568E-3</v>
      </c>
      <c r="E40" s="451"/>
    </row>
    <row r="41" spans="1:6">
      <c r="A41" s="557" t="s">
        <v>56</v>
      </c>
      <c r="B41" s="138">
        <f>SUM(B18:B40)</f>
        <v>121438</v>
      </c>
      <c r="C41" s="226"/>
      <c r="D41" s="101">
        <f t="shared" si="0"/>
        <v>1</v>
      </c>
    </row>
    <row r="42" spans="1:6">
      <c r="A42" s="557" t="s">
        <v>1</v>
      </c>
      <c r="B42" s="138">
        <v>2366</v>
      </c>
      <c r="C42" s="226">
        <v>4.9000000000000002E-2</v>
      </c>
      <c r="D42" s="229"/>
    </row>
    <row r="43" spans="1:6">
      <c r="A43" s="558" t="s">
        <v>78</v>
      </c>
      <c r="B43" s="157">
        <v>346</v>
      </c>
      <c r="C43" s="230">
        <v>7.0000000000000001E-3</v>
      </c>
      <c r="D43" s="231"/>
    </row>
    <row r="46" spans="1:6" ht="32.4">
      <c r="A46" s="528" t="s">
        <v>3</v>
      </c>
      <c r="B46" s="80" t="s">
        <v>4</v>
      </c>
      <c r="C46" s="102" t="s">
        <v>149</v>
      </c>
      <c r="D46" s="103" t="s">
        <v>148</v>
      </c>
      <c r="F46" s="56"/>
    </row>
    <row r="47" spans="1:6" ht="17.399999999999999">
      <c r="A47" s="564" t="s">
        <v>291</v>
      </c>
      <c r="B47" s="404">
        <v>19124</v>
      </c>
      <c r="C47" s="223">
        <v>0.40300000000000002</v>
      </c>
      <c r="D47" s="96">
        <f>B47/28183</f>
        <v>0.67856509243160767</v>
      </c>
      <c r="E47" s="451"/>
    </row>
    <row r="48" spans="1:6" ht="18" thickBot="1">
      <c r="A48" s="567" t="s">
        <v>315</v>
      </c>
      <c r="B48" s="405">
        <v>9059</v>
      </c>
      <c r="C48" s="232">
        <v>0.191</v>
      </c>
      <c r="D48" s="233">
        <f t="shared" ref="D48:D49" si="1">B48/28183</f>
        <v>0.32143490756839227</v>
      </c>
      <c r="E48" s="451"/>
    </row>
    <row r="49" spans="1:6">
      <c r="A49" s="557" t="s">
        <v>56</v>
      </c>
      <c r="B49" s="138">
        <f>SUM(B47:B48)</f>
        <v>28183</v>
      </c>
      <c r="C49" s="226"/>
      <c r="D49" s="101">
        <f t="shared" si="1"/>
        <v>1</v>
      </c>
    </row>
    <row r="50" spans="1:6">
      <c r="A50" s="557" t="s">
        <v>1</v>
      </c>
      <c r="B50" s="138">
        <v>19227</v>
      </c>
      <c r="C50" s="226">
        <v>0.40500000000000003</v>
      </c>
      <c r="D50" s="229"/>
    </row>
    <row r="51" spans="1:6">
      <c r="A51" s="558" t="s">
        <v>78</v>
      </c>
      <c r="B51" s="157">
        <v>10</v>
      </c>
      <c r="C51" s="230">
        <v>0</v>
      </c>
      <c r="D51" s="231"/>
    </row>
    <row r="54" spans="1:6" ht="32.4">
      <c r="A54" s="542" t="s">
        <v>8</v>
      </c>
      <c r="B54" s="80" t="s">
        <v>4</v>
      </c>
      <c r="C54" s="102" t="s">
        <v>149</v>
      </c>
      <c r="D54" s="103" t="s">
        <v>148</v>
      </c>
      <c r="F54" s="56"/>
    </row>
    <row r="55" spans="1:6" ht="17.399999999999999">
      <c r="A55" s="564" t="s">
        <v>309</v>
      </c>
      <c r="B55" s="141">
        <v>9669</v>
      </c>
      <c r="C55" s="223">
        <v>0.20300000000000001</v>
      </c>
      <c r="D55" s="96">
        <f>B55/34871</f>
        <v>0.27727911445040293</v>
      </c>
      <c r="E55" s="451"/>
    </row>
    <row r="56" spans="1:6" ht="17.399999999999999">
      <c r="A56" s="565" t="s">
        <v>310</v>
      </c>
      <c r="B56" s="401">
        <v>8343</v>
      </c>
      <c r="C56" s="224">
        <v>0.17499999999999999</v>
      </c>
      <c r="D56" s="225">
        <f t="shared" ref="D56:D62" si="2">B56/34871</f>
        <v>0.23925324768432221</v>
      </c>
      <c r="E56" s="451"/>
    </row>
    <row r="57" spans="1:6" ht="17.399999999999999">
      <c r="A57" s="493" t="s">
        <v>244</v>
      </c>
      <c r="B57" s="119">
        <v>5133</v>
      </c>
      <c r="C57" s="226">
        <v>0.108</v>
      </c>
      <c r="D57" s="101">
        <f t="shared" si="2"/>
        <v>0.14719967881620832</v>
      </c>
      <c r="E57" s="451"/>
    </row>
    <row r="58" spans="1:6" ht="17.399999999999999">
      <c r="A58" s="514" t="s">
        <v>311</v>
      </c>
      <c r="B58" s="402">
        <v>3474</v>
      </c>
      <c r="C58" s="224">
        <v>7.2999999999999995E-2</v>
      </c>
      <c r="D58" s="225">
        <f t="shared" si="2"/>
        <v>9.9624329672220471E-2</v>
      </c>
      <c r="E58" s="451"/>
    </row>
    <row r="59" spans="1:6" ht="17.399999999999999">
      <c r="A59" s="493" t="s">
        <v>312</v>
      </c>
      <c r="B59" s="119">
        <v>2853</v>
      </c>
      <c r="C59" s="226">
        <v>0.06</v>
      </c>
      <c r="D59" s="101">
        <f t="shared" si="2"/>
        <v>8.1815835508015258E-2</v>
      </c>
      <c r="E59" s="451"/>
    </row>
    <row r="60" spans="1:6" ht="17.399999999999999">
      <c r="A60" s="514" t="s">
        <v>313</v>
      </c>
      <c r="B60" s="401">
        <v>2722</v>
      </c>
      <c r="C60" s="224">
        <v>5.7000000000000002E-2</v>
      </c>
      <c r="D60" s="225">
        <f t="shared" si="2"/>
        <v>7.8059132230219958E-2</v>
      </c>
      <c r="E60" s="451"/>
    </row>
    <row r="61" spans="1:6" ht="18" thickBot="1">
      <c r="A61" s="568" t="s">
        <v>314</v>
      </c>
      <c r="B61" s="403">
        <v>2677</v>
      </c>
      <c r="C61" s="228">
        <v>5.5E-2</v>
      </c>
      <c r="D61" s="89">
        <f t="shared" si="2"/>
        <v>7.6768661638610874E-2</v>
      </c>
      <c r="E61" s="451"/>
    </row>
    <row r="62" spans="1:6">
      <c r="A62" s="557" t="s">
        <v>56</v>
      </c>
      <c r="B62" s="138">
        <f>SUM(B55:B61)</f>
        <v>34871</v>
      </c>
      <c r="C62" s="226"/>
      <c r="D62" s="101">
        <f t="shared" si="2"/>
        <v>1</v>
      </c>
    </row>
    <row r="63" spans="1:6">
      <c r="A63" s="557" t="s">
        <v>1</v>
      </c>
      <c r="B63" s="138">
        <v>11311</v>
      </c>
      <c r="C63" s="226">
        <v>0.23799999999999999</v>
      </c>
      <c r="D63" s="229"/>
    </row>
    <row r="64" spans="1:6">
      <c r="A64" s="558" t="s">
        <v>78</v>
      </c>
      <c r="B64" s="157">
        <v>1288</v>
      </c>
      <c r="C64" s="230">
        <v>2.7E-2</v>
      </c>
      <c r="D64" s="231"/>
    </row>
    <row r="67" spans="1:4" ht="51" customHeight="1">
      <c r="A67" s="704" t="s">
        <v>121</v>
      </c>
      <c r="B67" s="704"/>
      <c r="C67" s="704"/>
      <c r="D67" s="704"/>
    </row>
  </sheetData>
  <mergeCells count="5">
    <mergeCell ref="A5:D5"/>
    <mergeCell ref="A9:D9"/>
    <mergeCell ref="A2:D2"/>
    <mergeCell ref="A67:D67"/>
    <mergeCell ref="A14:D14"/>
  </mergeCells>
  <pageMargins left="0.7" right="0.7" top="0.75" bottom="0.75" header="0.3" footer="0.3"/>
  <pageSetup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66"/>
  <sheetViews>
    <sheetView topLeftCell="A52" workbookViewId="0">
      <selection activeCell="A52" sqref="A1:A1048576"/>
    </sheetView>
  </sheetViews>
  <sheetFormatPr defaultColWidth="9" defaultRowHeight="13.8"/>
  <cols>
    <col min="1" max="1" width="36.59765625" style="570" customWidth="1"/>
    <col min="2" max="2" width="10.59765625" style="158" customWidth="1"/>
    <col min="3" max="4" width="10.59765625" style="163" customWidth="1"/>
    <col min="5" max="16384" width="9" style="39"/>
  </cols>
  <sheetData>
    <row r="2" spans="1:4" ht="29.25" customHeight="1">
      <c r="A2" s="718" t="s">
        <v>85</v>
      </c>
      <c r="B2" s="719"/>
      <c r="C2" s="719"/>
      <c r="D2" s="720"/>
    </row>
    <row r="3" spans="1:4">
      <c r="A3" s="569" t="s">
        <v>72</v>
      </c>
    </row>
    <row r="5" spans="1:4" ht="30" customHeight="1">
      <c r="A5" s="737" t="s">
        <v>57</v>
      </c>
      <c r="B5" s="737"/>
      <c r="C5" s="737"/>
      <c r="D5" s="737"/>
    </row>
    <row r="9" spans="1:4" ht="30" customHeight="1">
      <c r="A9" s="701" t="s">
        <v>84</v>
      </c>
      <c r="B9" s="702"/>
      <c r="C9" s="702"/>
      <c r="D9" s="703"/>
    </row>
    <row r="10" spans="1:4">
      <c r="A10" s="569" t="s">
        <v>61</v>
      </c>
    </row>
    <row r="11" spans="1:4">
      <c r="A11" s="569"/>
    </row>
    <row r="12" spans="1:4">
      <c r="A12" s="571" t="s">
        <v>69</v>
      </c>
      <c r="B12" s="148">
        <v>59204</v>
      </c>
      <c r="C12" s="219"/>
      <c r="D12" s="164"/>
    </row>
    <row r="13" spans="1:4">
      <c r="A13" s="572" t="s">
        <v>68</v>
      </c>
      <c r="B13" s="149">
        <v>43064</v>
      </c>
      <c r="C13" s="218">
        <v>0.72699999999999998</v>
      </c>
      <c r="D13" s="165"/>
    </row>
    <row r="14" spans="1:4" ht="28.5" customHeight="1">
      <c r="A14" s="736" t="s">
        <v>150</v>
      </c>
      <c r="B14" s="736"/>
      <c r="C14" s="736"/>
      <c r="D14" s="736"/>
    </row>
    <row r="15" spans="1:4">
      <c r="A15" s="569"/>
    </row>
    <row r="17" spans="1:8" ht="32.4">
      <c r="A17" s="528" t="s">
        <v>7</v>
      </c>
      <c r="B17" s="80" t="s">
        <v>4</v>
      </c>
      <c r="C17" s="102" t="s">
        <v>149</v>
      </c>
      <c r="D17" s="103" t="s">
        <v>148</v>
      </c>
      <c r="F17" s="56"/>
    </row>
    <row r="18" spans="1:8" ht="17.399999999999999">
      <c r="A18" s="555" t="s">
        <v>298</v>
      </c>
      <c r="B18" s="148">
        <v>10516</v>
      </c>
      <c r="C18" s="166">
        <v>0.24399999999999999</v>
      </c>
      <c r="D18" s="172">
        <f>B18/38556</f>
        <v>0.27274613549123355</v>
      </c>
      <c r="E18" s="451"/>
    </row>
    <row r="19" spans="1:8" ht="17.399999999999999">
      <c r="A19" s="514" t="s">
        <v>345</v>
      </c>
      <c r="B19" s="407">
        <v>4784</v>
      </c>
      <c r="C19" s="167">
        <v>0.111</v>
      </c>
      <c r="D19" s="173">
        <f t="shared" ref="D19:D32" si="0">B19/38556</f>
        <v>0.12407926133416329</v>
      </c>
      <c r="E19" s="451"/>
    </row>
    <row r="20" spans="1:8" ht="17.399999999999999">
      <c r="A20" s="555" t="s">
        <v>346</v>
      </c>
      <c r="B20" s="158">
        <v>3653</v>
      </c>
      <c r="C20" s="168">
        <v>8.8999999999999996E-2</v>
      </c>
      <c r="D20" s="174">
        <f t="shared" si="0"/>
        <v>9.4745305529619253E-2</v>
      </c>
      <c r="E20" s="451"/>
    </row>
    <row r="21" spans="1:8" ht="17.399999999999999">
      <c r="A21" s="514" t="s">
        <v>347</v>
      </c>
      <c r="B21" s="407">
        <v>3277</v>
      </c>
      <c r="C21" s="167">
        <v>7.5999999999999998E-2</v>
      </c>
      <c r="D21" s="173">
        <f t="shared" si="0"/>
        <v>8.4993256561884015E-2</v>
      </c>
      <c r="E21" s="451"/>
      <c r="F21" s="40"/>
      <c r="G21" s="41"/>
      <c r="H21" s="41"/>
    </row>
    <row r="22" spans="1:8" ht="17.399999999999999">
      <c r="A22" s="555" t="s">
        <v>348</v>
      </c>
      <c r="B22" s="158">
        <v>3099</v>
      </c>
      <c r="C22" s="168">
        <v>7.0999999999999994E-2</v>
      </c>
      <c r="D22" s="174">
        <f t="shared" si="0"/>
        <v>8.0376595082477437E-2</v>
      </c>
      <c r="E22" s="451"/>
      <c r="F22" s="42"/>
      <c r="G22" s="43"/>
      <c r="H22" s="44"/>
    </row>
    <row r="23" spans="1:8" ht="17.399999999999999">
      <c r="A23" s="514" t="s">
        <v>349</v>
      </c>
      <c r="B23" s="407">
        <v>2862</v>
      </c>
      <c r="C23" s="167">
        <v>6.6000000000000003E-2</v>
      </c>
      <c r="D23" s="173">
        <f t="shared" si="0"/>
        <v>7.42296918767507E-2</v>
      </c>
      <c r="E23" s="451"/>
      <c r="F23" s="41"/>
      <c r="G23" s="43"/>
      <c r="H23" s="44"/>
    </row>
    <row r="24" spans="1:8" ht="17.399999999999999">
      <c r="A24" s="555" t="s">
        <v>350</v>
      </c>
      <c r="B24" s="158">
        <v>2262</v>
      </c>
      <c r="C24" s="168">
        <v>5.1999999999999998E-2</v>
      </c>
      <c r="D24" s="174">
        <f t="shared" si="0"/>
        <v>5.8667911609088082E-2</v>
      </c>
      <c r="E24" s="451"/>
      <c r="F24" s="41"/>
      <c r="G24" s="45"/>
      <c r="H24" s="46"/>
    </row>
    <row r="25" spans="1:8" ht="17.399999999999999">
      <c r="A25" s="514" t="s">
        <v>351</v>
      </c>
      <c r="B25" s="407">
        <v>2237</v>
      </c>
      <c r="C25" s="167">
        <v>5.0999999999999997E-2</v>
      </c>
      <c r="D25" s="173">
        <f t="shared" si="0"/>
        <v>5.8019504097935472E-2</v>
      </c>
      <c r="E25" s="451"/>
      <c r="F25" s="42"/>
      <c r="G25" s="43"/>
      <c r="H25" s="44"/>
    </row>
    <row r="26" spans="1:8" ht="17.399999999999999">
      <c r="A26" s="555" t="s">
        <v>352</v>
      </c>
      <c r="B26" s="158">
        <v>1823</v>
      </c>
      <c r="C26" s="168">
        <v>4.2000000000000003E-2</v>
      </c>
      <c r="D26" s="174">
        <f t="shared" si="0"/>
        <v>4.728187571324826E-2</v>
      </c>
      <c r="E26" s="451"/>
      <c r="F26" s="41"/>
      <c r="G26" s="43"/>
      <c r="H26" s="47"/>
    </row>
    <row r="27" spans="1:8" ht="17.399999999999999">
      <c r="A27" s="514" t="s">
        <v>353</v>
      </c>
      <c r="B27" s="410">
        <v>1478</v>
      </c>
      <c r="C27" s="167">
        <v>3.4000000000000002E-2</v>
      </c>
      <c r="D27" s="173">
        <f t="shared" si="0"/>
        <v>3.8333852059342255E-2</v>
      </c>
      <c r="E27" s="451"/>
      <c r="F27" s="41"/>
      <c r="G27" s="43"/>
      <c r="H27" s="47"/>
    </row>
    <row r="28" spans="1:8" ht="17.399999999999999">
      <c r="A28" s="555" t="s">
        <v>354</v>
      </c>
      <c r="B28" s="158">
        <v>882</v>
      </c>
      <c r="C28" s="168">
        <v>0.02</v>
      </c>
      <c r="D28" s="174">
        <f t="shared" si="0"/>
        <v>2.2875816993464051E-2</v>
      </c>
      <c r="E28" s="451"/>
      <c r="F28" s="41"/>
      <c r="G28" s="45"/>
      <c r="H28" s="46"/>
    </row>
    <row r="29" spans="1:8" ht="17.399999999999999">
      <c r="A29" s="514" t="s">
        <v>355</v>
      </c>
      <c r="B29" s="407">
        <v>783</v>
      </c>
      <c r="C29" s="167">
        <v>1.7999999999999999E-2</v>
      </c>
      <c r="D29" s="173">
        <f t="shared" si="0"/>
        <v>2.0308123249299721E-2</v>
      </c>
      <c r="E29" s="451"/>
      <c r="F29" s="42"/>
      <c r="G29" s="48"/>
      <c r="H29" s="44"/>
    </row>
    <row r="30" spans="1:8" ht="17.399999999999999">
      <c r="A30" s="555" t="s">
        <v>356</v>
      </c>
      <c r="B30" s="158">
        <v>703</v>
      </c>
      <c r="C30" s="168">
        <v>1.6E-2</v>
      </c>
      <c r="D30" s="174">
        <f t="shared" si="0"/>
        <v>1.823321921361137E-2</v>
      </c>
      <c r="E30" s="451"/>
      <c r="F30" s="43"/>
      <c r="G30" s="49"/>
      <c r="H30" s="47"/>
    </row>
    <row r="31" spans="1:8" ht="18" thickBot="1">
      <c r="A31" s="508" t="s">
        <v>357</v>
      </c>
      <c r="B31" s="409">
        <v>197</v>
      </c>
      <c r="C31" s="175">
        <v>4.0000000000000001E-3</v>
      </c>
      <c r="D31" s="176">
        <f t="shared" si="0"/>
        <v>5.1094511878825603E-3</v>
      </c>
      <c r="E31" s="451"/>
    </row>
    <row r="32" spans="1:8">
      <c r="A32" s="573" t="s">
        <v>56</v>
      </c>
      <c r="B32" s="159">
        <f>SUM(B18:B31)</f>
        <v>38556</v>
      </c>
      <c r="C32" s="168"/>
      <c r="D32" s="174">
        <f t="shared" si="0"/>
        <v>1</v>
      </c>
    </row>
    <row r="33" spans="1:6">
      <c r="A33" s="573" t="s">
        <v>1</v>
      </c>
      <c r="B33" s="159">
        <v>2253</v>
      </c>
      <c r="C33" s="168">
        <v>5.1999999999999998E-2</v>
      </c>
      <c r="D33" s="220"/>
    </row>
    <row r="34" spans="1:6">
      <c r="A34" s="574" t="s">
        <v>78</v>
      </c>
      <c r="B34" s="160">
        <v>2055</v>
      </c>
      <c r="C34" s="171">
        <v>4.7E-2</v>
      </c>
      <c r="D34" s="179"/>
    </row>
    <row r="37" spans="1:6" ht="32.4">
      <c r="A37" s="525" t="s">
        <v>6</v>
      </c>
      <c r="B37" s="80" t="s">
        <v>4</v>
      </c>
      <c r="C37" s="102" t="s">
        <v>149</v>
      </c>
      <c r="D37" s="103" t="s">
        <v>148</v>
      </c>
      <c r="F37" s="56"/>
    </row>
    <row r="38" spans="1:6" ht="17.399999999999999">
      <c r="A38" s="555" t="s">
        <v>200</v>
      </c>
      <c r="B38" s="148">
        <v>15488</v>
      </c>
      <c r="C38" s="166">
        <v>0.35899999999999999</v>
      </c>
      <c r="D38" s="172">
        <f>B38/38905</f>
        <v>0.39809793085721629</v>
      </c>
      <c r="E38" s="451"/>
      <c r="F38" s="51"/>
    </row>
    <row r="39" spans="1:6" ht="17.399999999999999">
      <c r="A39" s="514" t="s">
        <v>342</v>
      </c>
      <c r="B39" s="407">
        <v>14618</v>
      </c>
      <c r="C39" s="167">
        <v>0.33900000000000002</v>
      </c>
      <c r="D39" s="173">
        <f t="shared" ref="D39:D42" si="1">B39/38905</f>
        <v>0.37573576661097546</v>
      </c>
      <c r="E39" s="451"/>
    </row>
    <row r="40" spans="1:6" ht="17.399999999999999">
      <c r="A40" s="555" t="s">
        <v>343</v>
      </c>
      <c r="B40" s="158">
        <v>5508</v>
      </c>
      <c r="C40" s="168">
        <v>0.127</v>
      </c>
      <c r="D40" s="174">
        <f t="shared" si="1"/>
        <v>0.14157563295206271</v>
      </c>
      <c r="E40" s="451"/>
    </row>
    <row r="41" spans="1:6" ht="18" thickBot="1">
      <c r="A41" s="508" t="s">
        <v>344</v>
      </c>
      <c r="B41" s="409">
        <v>3291</v>
      </c>
      <c r="C41" s="175">
        <v>7.5999999999999998E-2</v>
      </c>
      <c r="D41" s="176">
        <f t="shared" si="1"/>
        <v>8.4590669579745537E-2</v>
      </c>
      <c r="E41" s="451"/>
    </row>
    <row r="42" spans="1:6">
      <c r="A42" s="573" t="s">
        <v>56</v>
      </c>
      <c r="B42" s="159">
        <f>SUM(B38:B41)</f>
        <v>38905</v>
      </c>
      <c r="C42" s="168"/>
      <c r="D42" s="174">
        <f t="shared" si="1"/>
        <v>1</v>
      </c>
    </row>
    <row r="43" spans="1:6">
      <c r="A43" s="573" t="s">
        <v>1</v>
      </c>
      <c r="B43" s="159">
        <v>4077</v>
      </c>
      <c r="C43" s="168">
        <v>9.4E-2</v>
      </c>
      <c r="D43" s="220"/>
    </row>
    <row r="44" spans="1:6">
      <c r="A44" s="574" t="s">
        <v>78</v>
      </c>
      <c r="B44" s="160">
        <v>82</v>
      </c>
      <c r="C44" s="171">
        <v>1E-3</v>
      </c>
      <c r="D44" s="179"/>
    </row>
    <row r="47" spans="1:6" ht="32.4">
      <c r="A47" s="525" t="s">
        <v>2</v>
      </c>
      <c r="B47" s="80" t="s">
        <v>4</v>
      </c>
      <c r="C47" s="102" t="s">
        <v>149</v>
      </c>
      <c r="D47" s="103" t="s">
        <v>148</v>
      </c>
      <c r="F47" s="56"/>
    </row>
    <row r="48" spans="1:6" ht="17.399999999999999">
      <c r="A48" s="555" t="s">
        <v>340</v>
      </c>
      <c r="B48" s="148">
        <v>30469</v>
      </c>
      <c r="C48" s="166">
        <v>0.70699999999999996</v>
      </c>
      <c r="D48" s="172">
        <f>B48/37813</f>
        <v>0.80578108058075271</v>
      </c>
      <c r="E48" s="451"/>
    </row>
    <row r="49" spans="1:6" ht="18" thickBot="1">
      <c r="A49" s="508" t="s">
        <v>341</v>
      </c>
      <c r="B49" s="409">
        <v>7344</v>
      </c>
      <c r="C49" s="175">
        <v>0.17</v>
      </c>
      <c r="D49" s="176">
        <f t="shared" ref="D49:D50" si="2">B49/37813</f>
        <v>0.19421891941924735</v>
      </c>
      <c r="E49" s="451"/>
    </row>
    <row r="50" spans="1:6">
      <c r="A50" s="573" t="s">
        <v>56</v>
      </c>
      <c r="B50" s="159">
        <f>SUM(B48:B49)</f>
        <v>37813</v>
      </c>
      <c r="C50" s="168"/>
      <c r="D50" s="174">
        <f t="shared" si="2"/>
        <v>1</v>
      </c>
    </row>
    <row r="51" spans="1:6">
      <c r="A51" s="573" t="s">
        <v>1</v>
      </c>
      <c r="B51" s="159">
        <v>5238</v>
      </c>
      <c r="C51" s="168">
        <v>0.121</v>
      </c>
      <c r="D51" s="220"/>
    </row>
    <row r="52" spans="1:6">
      <c r="A52" s="574" t="s">
        <v>78</v>
      </c>
      <c r="B52" s="160">
        <v>13</v>
      </c>
      <c r="C52" s="171">
        <v>0</v>
      </c>
      <c r="D52" s="179"/>
    </row>
    <row r="55" spans="1:6" ht="32.4">
      <c r="A55" s="525" t="s">
        <v>5</v>
      </c>
      <c r="B55" s="80" t="s">
        <v>4</v>
      </c>
      <c r="C55" s="102" t="s">
        <v>149</v>
      </c>
      <c r="D55" s="103" t="s">
        <v>148</v>
      </c>
      <c r="F55" s="56"/>
    </row>
    <row r="56" spans="1:6" ht="17.399999999999999">
      <c r="A56" s="555" t="s">
        <v>227</v>
      </c>
      <c r="B56" s="148">
        <v>15288</v>
      </c>
      <c r="C56" s="166">
        <v>0.35499999999999998</v>
      </c>
      <c r="D56" s="172">
        <f>B56/37553</f>
        <v>0.40710462546267939</v>
      </c>
      <c r="E56" s="451"/>
    </row>
    <row r="57" spans="1:6" ht="17.399999999999999">
      <c r="A57" s="514" t="s">
        <v>336</v>
      </c>
      <c r="B57" s="407">
        <v>11088</v>
      </c>
      <c r="C57" s="167">
        <v>0.25700000000000001</v>
      </c>
      <c r="D57" s="173">
        <f t="shared" ref="D57:D61" si="3">B57/37553</f>
        <v>0.29526269539051475</v>
      </c>
      <c r="E57" s="451"/>
    </row>
    <row r="58" spans="1:6" ht="17.399999999999999">
      <c r="A58" s="555" t="s">
        <v>337</v>
      </c>
      <c r="B58" s="158">
        <v>7065</v>
      </c>
      <c r="C58" s="168">
        <v>0.16400000000000001</v>
      </c>
      <c r="D58" s="174">
        <f t="shared" si="3"/>
        <v>0.18813410379996273</v>
      </c>
      <c r="E58" s="451"/>
    </row>
    <row r="59" spans="1:6" ht="17.399999999999999">
      <c r="A59" s="514" t="s">
        <v>338</v>
      </c>
      <c r="B59" s="407">
        <v>2672</v>
      </c>
      <c r="C59" s="167">
        <v>6.2E-2</v>
      </c>
      <c r="D59" s="173">
        <f t="shared" si="3"/>
        <v>7.1152770750672389E-2</v>
      </c>
      <c r="E59" s="451"/>
    </row>
    <row r="60" spans="1:6" ht="18" thickBot="1">
      <c r="A60" s="559" t="s">
        <v>339</v>
      </c>
      <c r="B60" s="408">
        <v>1440</v>
      </c>
      <c r="C60" s="177">
        <v>3.3000000000000002E-2</v>
      </c>
      <c r="D60" s="178">
        <f t="shared" si="3"/>
        <v>3.8345804596170742E-2</v>
      </c>
      <c r="E60" s="451"/>
    </row>
    <row r="61" spans="1:6">
      <c r="A61" s="573" t="s">
        <v>56</v>
      </c>
      <c r="B61" s="159">
        <f>SUM(B56:B60)</f>
        <v>37553</v>
      </c>
      <c r="C61" s="168"/>
      <c r="D61" s="174">
        <f t="shared" si="3"/>
        <v>1</v>
      </c>
    </row>
    <row r="62" spans="1:6">
      <c r="A62" s="573" t="s">
        <v>1</v>
      </c>
      <c r="B62" s="159">
        <v>5296</v>
      </c>
      <c r="C62" s="168">
        <v>0.122</v>
      </c>
      <c r="D62" s="220"/>
    </row>
    <row r="63" spans="1:6">
      <c r="A63" s="574" t="s">
        <v>78</v>
      </c>
      <c r="B63" s="160">
        <v>215</v>
      </c>
      <c r="C63" s="171">
        <v>4.0000000000000001E-3</v>
      </c>
      <c r="D63" s="179"/>
    </row>
    <row r="66" spans="1:4" ht="38.25" customHeight="1">
      <c r="A66" s="739" t="s">
        <v>120</v>
      </c>
      <c r="B66" s="739"/>
      <c r="C66" s="739"/>
      <c r="D66" s="739"/>
    </row>
  </sheetData>
  <mergeCells count="5">
    <mergeCell ref="A5:D5"/>
    <mergeCell ref="A9:D9"/>
    <mergeCell ref="A2:D2"/>
    <mergeCell ref="A66:D66"/>
    <mergeCell ref="A14:D14"/>
  </mergeCells>
  <pageMargins left="0.7" right="0.7" top="0.75" bottom="0.75" header="0.3" footer="0.3"/>
  <pageSetup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85"/>
  <sheetViews>
    <sheetView topLeftCell="A70" workbookViewId="0">
      <selection activeCell="A70" sqref="A1:A1048576"/>
    </sheetView>
  </sheetViews>
  <sheetFormatPr defaultColWidth="9" defaultRowHeight="13.8"/>
  <cols>
    <col min="1" max="1" width="36.59765625" style="563" customWidth="1"/>
    <col min="2" max="2" width="10.59765625" style="150" customWidth="1"/>
    <col min="3" max="4" width="10.59765625" style="189" customWidth="1"/>
    <col min="5" max="16384" width="9" style="30"/>
  </cols>
  <sheetData>
    <row r="2" spans="1:8" ht="29.25" customHeight="1">
      <c r="A2" s="705" t="s">
        <v>83</v>
      </c>
      <c r="B2" s="706"/>
      <c r="C2" s="706"/>
      <c r="D2" s="707"/>
    </row>
    <row r="3" spans="1:8">
      <c r="A3" s="552" t="s">
        <v>73</v>
      </c>
    </row>
    <row r="5" spans="1:8" ht="29.25" customHeight="1">
      <c r="A5" s="708" t="s">
        <v>57</v>
      </c>
      <c r="B5" s="708"/>
      <c r="C5" s="708"/>
      <c r="D5" s="708"/>
    </row>
    <row r="9" spans="1:8" ht="29.25" customHeight="1">
      <c r="A9" s="694" t="s">
        <v>82</v>
      </c>
      <c r="B9" s="695"/>
      <c r="C9" s="695"/>
      <c r="D9" s="696"/>
    </row>
    <row r="10" spans="1:8">
      <c r="A10" s="552" t="s">
        <v>59</v>
      </c>
    </row>
    <row r="11" spans="1:8">
      <c r="A11" s="552"/>
    </row>
    <row r="12" spans="1:8">
      <c r="A12" s="536" t="s">
        <v>69</v>
      </c>
      <c r="B12" s="148">
        <v>63950</v>
      </c>
      <c r="C12" s="190"/>
      <c r="D12" s="190"/>
      <c r="G12" s="34"/>
    </row>
    <row r="13" spans="1:8">
      <c r="A13" s="537" t="s">
        <v>68</v>
      </c>
      <c r="B13" s="149">
        <v>42390</v>
      </c>
      <c r="C13" s="218">
        <v>0.66300000000000003</v>
      </c>
      <c r="D13" s="191"/>
      <c r="G13" s="34"/>
      <c r="H13" s="35"/>
    </row>
    <row r="14" spans="1:8" ht="30.6" customHeight="1">
      <c r="A14" s="736" t="s">
        <v>150</v>
      </c>
      <c r="B14" s="736"/>
      <c r="C14" s="736"/>
      <c r="D14" s="736"/>
    </row>
    <row r="15" spans="1:8">
      <c r="A15" s="552"/>
    </row>
    <row r="17" spans="1:9" ht="32.4">
      <c r="A17" s="525" t="s">
        <v>66</v>
      </c>
      <c r="B17" s="80" t="s">
        <v>4</v>
      </c>
      <c r="C17" s="102" t="s">
        <v>149</v>
      </c>
      <c r="D17" s="103" t="s">
        <v>148</v>
      </c>
      <c r="F17" s="56"/>
    </row>
    <row r="18" spans="1:9" ht="17.399999999999999">
      <c r="A18" s="555" t="s">
        <v>373</v>
      </c>
      <c r="B18" s="396">
        <v>20580</v>
      </c>
      <c r="C18" s="192">
        <v>0.48499999999999999</v>
      </c>
      <c r="D18" s="193">
        <f>B18/107382</f>
        <v>0.19165223221769012</v>
      </c>
      <c r="E18" s="451"/>
      <c r="G18" s="36"/>
      <c r="H18" s="31"/>
      <c r="I18" s="32"/>
    </row>
    <row r="19" spans="1:9" ht="17.399999999999999">
      <c r="A19" s="514" t="s">
        <v>317</v>
      </c>
      <c r="B19" s="397">
        <v>14792</v>
      </c>
      <c r="C19" s="194">
        <v>0.34799999999999998</v>
      </c>
      <c r="D19" s="195">
        <f t="shared" ref="D19:D38" si="0">B19/107382</f>
        <v>0.13775120597493062</v>
      </c>
      <c r="E19" s="451"/>
      <c r="G19" s="37"/>
    </row>
    <row r="20" spans="1:9" ht="17.399999999999999">
      <c r="A20" s="555" t="s">
        <v>374</v>
      </c>
      <c r="B20" s="398">
        <v>8748</v>
      </c>
      <c r="C20" s="196">
        <v>0.20599999999999999</v>
      </c>
      <c r="D20" s="197">
        <f t="shared" si="0"/>
        <v>8.1466167514108512E-2</v>
      </c>
      <c r="E20" s="451"/>
      <c r="G20" s="38"/>
    </row>
    <row r="21" spans="1:9" ht="17.399999999999999">
      <c r="A21" s="514" t="s">
        <v>347</v>
      </c>
      <c r="B21" s="397">
        <v>8182</v>
      </c>
      <c r="C21" s="194">
        <v>0.193</v>
      </c>
      <c r="D21" s="195">
        <f t="shared" si="0"/>
        <v>7.6195265500735687E-2</v>
      </c>
      <c r="E21" s="451"/>
    </row>
    <row r="22" spans="1:9" ht="17.399999999999999">
      <c r="A22" s="555" t="s">
        <v>375</v>
      </c>
      <c r="B22" s="398">
        <v>6643</v>
      </c>
      <c r="C22" s="196">
        <v>0.156</v>
      </c>
      <c r="D22" s="197">
        <f t="shared" si="0"/>
        <v>6.1863254549179562E-2</v>
      </c>
      <c r="E22" s="451"/>
    </row>
    <row r="23" spans="1:9" ht="17.399999999999999">
      <c r="A23" s="514" t="s">
        <v>376</v>
      </c>
      <c r="B23" s="397">
        <v>6638</v>
      </c>
      <c r="C23" s="194">
        <v>0.156</v>
      </c>
      <c r="D23" s="195">
        <f t="shared" si="0"/>
        <v>6.1816691810545527E-2</v>
      </c>
      <c r="E23" s="451"/>
    </row>
    <row r="24" spans="1:9" ht="17.399999999999999">
      <c r="A24" s="555" t="s">
        <v>231</v>
      </c>
      <c r="B24" s="398">
        <v>5813</v>
      </c>
      <c r="C24" s="196">
        <v>0.13700000000000001</v>
      </c>
      <c r="D24" s="197">
        <f t="shared" si="0"/>
        <v>5.413383993592967E-2</v>
      </c>
      <c r="E24" s="451"/>
    </row>
    <row r="25" spans="1:9" ht="17.399999999999999">
      <c r="A25" s="514" t="s">
        <v>377</v>
      </c>
      <c r="B25" s="397">
        <v>4958</v>
      </c>
      <c r="C25" s="194">
        <v>0.11600000000000001</v>
      </c>
      <c r="D25" s="195">
        <f t="shared" si="0"/>
        <v>4.6171611629509599E-2</v>
      </c>
      <c r="E25" s="451"/>
    </row>
    <row r="26" spans="1:9" ht="17.399999999999999">
      <c r="A26" s="555" t="s">
        <v>300</v>
      </c>
      <c r="B26" s="398">
        <v>4214</v>
      </c>
      <c r="C26" s="196">
        <v>9.9000000000000005E-2</v>
      </c>
      <c r="D26" s="197">
        <f t="shared" si="0"/>
        <v>3.9243076120765122E-2</v>
      </c>
      <c r="E26" s="451"/>
    </row>
    <row r="27" spans="1:9" ht="17.399999999999999">
      <c r="A27" s="514" t="s">
        <v>378</v>
      </c>
      <c r="B27" s="397">
        <v>4087</v>
      </c>
      <c r="C27" s="194">
        <v>9.6000000000000002E-2</v>
      </c>
      <c r="D27" s="195">
        <f t="shared" si="0"/>
        <v>3.806038255946062E-2</v>
      </c>
      <c r="E27" s="451"/>
    </row>
    <row r="28" spans="1:9" ht="17.399999999999999">
      <c r="A28" s="555" t="s">
        <v>379</v>
      </c>
      <c r="B28" s="398">
        <v>3758</v>
      </c>
      <c r="C28" s="196">
        <v>8.7999999999999995E-2</v>
      </c>
      <c r="D28" s="197">
        <f t="shared" si="0"/>
        <v>3.4996554357341079E-2</v>
      </c>
      <c r="E28" s="451"/>
    </row>
    <row r="29" spans="1:9" ht="17.399999999999999">
      <c r="A29" s="514" t="s">
        <v>380</v>
      </c>
      <c r="B29" s="397">
        <v>3010</v>
      </c>
      <c r="C29" s="194">
        <v>7.0999999999999994E-2</v>
      </c>
      <c r="D29" s="195">
        <f t="shared" si="0"/>
        <v>2.8030768657689369E-2</v>
      </c>
      <c r="E29" s="451"/>
    </row>
    <row r="30" spans="1:9" ht="17.399999999999999">
      <c r="A30" s="555" t="s">
        <v>386</v>
      </c>
      <c r="B30" s="398">
        <v>2701</v>
      </c>
      <c r="C30" s="196">
        <v>6.3E-2</v>
      </c>
      <c r="D30" s="197">
        <f t="shared" si="0"/>
        <v>2.5153191410105975E-2</v>
      </c>
      <c r="E30" s="451"/>
    </row>
    <row r="31" spans="1:9" ht="17.399999999999999">
      <c r="A31" s="514" t="s">
        <v>381</v>
      </c>
      <c r="B31" s="397">
        <v>2590</v>
      </c>
      <c r="C31" s="194">
        <v>6.0999999999999999E-2</v>
      </c>
      <c r="D31" s="195">
        <f t="shared" si="0"/>
        <v>2.4119498612430387E-2</v>
      </c>
      <c r="E31" s="451"/>
    </row>
    <row r="32" spans="1:9" ht="17.399999999999999">
      <c r="A32" s="555" t="s">
        <v>355</v>
      </c>
      <c r="B32" s="398">
        <v>2219</v>
      </c>
      <c r="C32" s="198">
        <v>5.1999999999999998E-2</v>
      </c>
      <c r="D32" s="197">
        <f t="shared" si="0"/>
        <v>2.0664543405784955E-2</v>
      </c>
      <c r="E32" s="451"/>
    </row>
    <row r="33" spans="1:6" ht="17.399999999999999">
      <c r="A33" s="514" t="s">
        <v>341</v>
      </c>
      <c r="B33" s="397">
        <v>2007</v>
      </c>
      <c r="C33" s="194">
        <v>4.7E-2</v>
      </c>
      <c r="D33" s="195">
        <f t="shared" si="0"/>
        <v>1.869028328770185E-2</v>
      </c>
      <c r="E33" s="451"/>
    </row>
    <row r="34" spans="1:6" ht="17.399999999999999">
      <c r="A34" s="555" t="s">
        <v>382</v>
      </c>
      <c r="B34" s="398">
        <v>1913</v>
      </c>
      <c r="C34" s="196">
        <v>4.4999999999999998E-2</v>
      </c>
      <c r="D34" s="197">
        <f t="shared" si="0"/>
        <v>1.7814903801381982E-2</v>
      </c>
      <c r="E34" s="451"/>
    </row>
    <row r="35" spans="1:6" ht="17.399999999999999">
      <c r="A35" s="514" t="s">
        <v>383</v>
      </c>
      <c r="B35" s="397">
        <v>1681</v>
      </c>
      <c r="C35" s="194">
        <v>3.9E-2</v>
      </c>
      <c r="D35" s="195">
        <f t="shared" si="0"/>
        <v>1.5654392728762734E-2</v>
      </c>
      <c r="E35" s="451"/>
    </row>
    <row r="36" spans="1:6" ht="17.399999999999999">
      <c r="A36" s="555" t="s">
        <v>384</v>
      </c>
      <c r="B36" s="398">
        <v>1681</v>
      </c>
      <c r="C36" s="196">
        <v>3.9E-2</v>
      </c>
      <c r="D36" s="197">
        <f t="shared" si="0"/>
        <v>1.5654392728762734E-2</v>
      </c>
      <c r="E36" s="451"/>
    </row>
    <row r="37" spans="1:6" ht="18" thickBot="1">
      <c r="A37" s="508" t="s">
        <v>385</v>
      </c>
      <c r="B37" s="399">
        <v>1167</v>
      </c>
      <c r="C37" s="199">
        <v>2.7E-2</v>
      </c>
      <c r="D37" s="200">
        <f t="shared" si="0"/>
        <v>1.0867743197183886E-2</v>
      </c>
      <c r="E37" s="451"/>
    </row>
    <row r="38" spans="1:6">
      <c r="A38" s="573" t="s">
        <v>56</v>
      </c>
      <c r="B38" s="152">
        <f>SUM(B18:B37)</f>
        <v>107382</v>
      </c>
      <c r="C38" s="196"/>
      <c r="D38" s="197">
        <f t="shared" si="0"/>
        <v>1</v>
      </c>
    </row>
    <row r="39" spans="1:6">
      <c r="A39" s="573" t="s">
        <v>1</v>
      </c>
      <c r="B39" s="152">
        <v>1429</v>
      </c>
      <c r="C39" s="196">
        <v>3.3000000000000002E-2</v>
      </c>
      <c r="D39" s="201"/>
    </row>
    <row r="40" spans="1:6">
      <c r="A40" s="574" t="s">
        <v>78</v>
      </c>
      <c r="B40" s="154">
        <v>174</v>
      </c>
      <c r="C40" s="202">
        <v>4.0000000000000001E-3</v>
      </c>
      <c r="D40" s="203"/>
    </row>
    <row r="43" spans="1:6" ht="32.4">
      <c r="A43" s="525" t="s">
        <v>67</v>
      </c>
      <c r="B43" s="80" t="s">
        <v>4</v>
      </c>
      <c r="C43" s="102" t="s">
        <v>149</v>
      </c>
      <c r="D43" s="103" t="s">
        <v>148</v>
      </c>
      <c r="F43" s="56"/>
    </row>
    <row r="44" spans="1:6" ht="17.399999999999999">
      <c r="A44" s="555" t="s">
        <v>298</v>
      </c>
      <c r="B44" s="396">
        <v>12966</v>
      </c>
      <c r="C44" s="192">
        <v>0.30499999999999999</v>
      </c>
      <c r="D44" s="193">
        <f>B44/36524</f>
        <v>0.35499945241485054</v>
      </c>
      <c r="E44" s="451"/>
    </row>
    <row r="45" spans="1:6" ht="17.399999999999999">
      <c r="A45" s="514" t="s">
        <v>365</v>
      </c>
      <c r="B45" s="397">
        <v>5841</v>
      </c>
      <c r="C45" s="194">
        <v>0.13700000000000001</v>
      </c>
      <c r="D45" s="195">
        <f t="shared" ref="D45:D53" si="1">B45/36524</f>
        <v>0.15992224290877233</v>
      </c>
      <c r="E45" s="451"/>
    </row>
    <row r="46" spans="1:6" ht="17.399999999999999">
      <c r="A46" s="555" t="s">
        <v>366</v>
      </c>
      <c r="B46" s="398">
        <v>4264</v>
      </c>
      <c r="C46" s="196">
        <v>0.1</v>
      </c>
      <c r="D46" s="197">
        <f t="shared" si="1"/>
        <v>0.116745153871427</v>
      </c>
      <c r="E46" s="451"/>
    </row>
    <row r="47" spans="1:6" ht="17.399999999999999">
      <c r="A47" s="514" t="s">
        <v>367</v>
      </c>
      <c r="B47" s="397">
        <v>3141</v>
      </c>
      <c r="C47" s="194">
        <v>7.3999999999999996E-2</v>
      </c>
      <c r="D47" s="195">
        <f t="shared" si="1"/>
        <v>8.5998247727521626E-2</v>
      </c>
      <c r="E47" s="451"/>
    </row>
    <row r="48" spans="1:6" ht="17.399999999999999">
      <c r="A48" s="555" t="s">
        <v>368</v>
      </c>
      <c r="B48" s="398">
        <v>2889</v>
      </c>
      <c r="C48" s="196">
        <v>6.8000000000000005E-2</v>
      </c>
      <c r="D48" s="197">
        <f t="shared" si="1"/>
        <v>7.9098674843938233E-2</v>
      </c>
      <c r="E48" s="451"/>
    </row>
    <row r="49" spans="1:6" ht="17.399999999999999">
      <c r="A49" s="514" t="s">
        <v>369</v>
      </c>
      <c r="B49" s="397">
        <v>2437</v>
      </c>
      <c r="C49" s="194">
        <v>5.7000000000000002E-2</v>
      </c>
      <c r="D49" s="195">
        <f t="shared" si="1"/>
        <v>6.6723250465447373E-2</v>
      </c>
      <c r="E49" s="451"/>
    </row>
    <row r="50" spans="1:6" ht="17.399999999999999">
      <c r="A50" s="555" t="s">
        <v>370</v>
      </c>
      <c r="B50" s="398">
        <v>1905</v>
      </c>
      <c r="C50" s="196">
        <v>4.3999999999999997E-2</v>
      </c>
      <c r="D50" s="197">
        <f t="shared" si="1"/>
        <v>5.2157485488993537E-2</v>
      </c>
      <c r="E50" s="451"/>
    </row>
    <row r="51" spans="1:6" ht="17.399999999999999">
      <c r="A51" s="514" t="s">
        <v>371</v>
      </c>
      <c r="B51" s="397">
        <v>1800</v>
      </c>
      <c r="C51" s="194">
        <v>4.2000000000000003E-2</v>
      </c>
      <c r="D51" s="195">
        <f t="shared" si="1"/>
        <v>4.9282663454167125E-2</v>
      </c>
      <c r="E51" s="451"/>
    </row>
    <row r="52" spans="1:6" ht="18" thickBot="1">
      <c r="A52" s="559" t="s">
        <v>372</v>
      </c>
      <c r="B52" s="400">
        <v>1281</v>
      </c>
      <c r="C52" s="204">
        <v>0.03</v>
      </c>
      <c r="D52" s="205">
        <f t="shared" si="1"/>
        <v>3.5072828824882267E-2</v>
      </c>
      <c r="E52" s="451"/>
    </row>
    <row r="53" spans="1:6">
      <c r="A53" s="573" t="s">
        <v>56</v>
      </c>
      <c r="B53" s="152">
        <f>SUM(B44:B52)</f>
        <v>36524</v>
      </c>
      <c r="C53" s="196"/>
      <c r="D53" s="197">
        <f t="shared" si="1"/>
        <v>1</v>
      </c>
    </row>
    <row r="54" spans="1:6">
      <c r="A54" s="573" t="s">
        <v>1</v>
      </c>
      <c r="B54" s="152">
        <v>5533</v>
      </c>
      <c r="C54" s="196">
        <v>0.13</v>
      </c>
      <c r="D54" s="206"/>
    </row>
    <row r="55" spans="1:6">
      <c r="A55" s="574" t="s">
        <v>78</v>
      </c>
      <c r="B55" s="154">
        <v>325</v>
      </c>
      <c r="C55" s="207">
        <v>7.0000000000000001E-3</v>
      </c>
      <c r="D55" s="208"/>
    </row>
    <row r="58" spans="1:6" ht="32.4">
      <c r="A58" s="525" t="s">
        <v>6</v>
      </c>
      <c r="B58" s="80" t="s">
        <v>4</v>
      </c>
      <c r="C58" s="102" t="s">
        <v>149</v>
      </c>
      <c r="D58" s="103" t="s">
        <v>148</v>
      </c>
      <c r="F58" s="56"/>
    </row>
    <row r="59" spans="1:6" ht="17.399999999999999">
      <c r="A59" s="555" t="s">
        <v>342</v>
      </c>
      <c r="B59" s="396">
        <v>12689</v>
      </c>
      <c r="C59" s="209">
        <v>0.29899999999999999</v>
      </c>
      <c r="D59" s="210">
        <f>B59/33996</f>
        <v>0.37324979409342274</v>
      </c>
      <c r="E59" s="451"/>
    </row>
    <row r="60" spans="1:6" ht="17.399999999999999">
      <c r="A60" s="514" t="s">
        <v>362</v>
      </c>
      <c r="B60" s="397">
        <v>9036</v>
      </c>
      <c r="C60" s="211">
        <v>0.214</v>
      </c>
      <c r="D60" s="212">
        <f t="shared" ref="D60:D63" si="2">B60/33996</f>
        <v>0.26579597599717614</v>
      </c>
      <c r="E60" s="451"/>
    </row>
    <row r="61" spans="1:6" ht="17.399999999999999">
      <c r="A61" s="555" t="s">
        <v>364</v>
      </c>
      <c r="B61" s="398">
        <v>7971</v>
      </c>
      <c r="C61" s="198">
        <v>0.188</v>
      </c>
      <c r="D61" s="213">
        <f t="shared" si="2"/>
        <v>0.23446876103070949</v>
      </c>
      <c r="E61" s="451"/>
    </row>
    <row r="62" spans="1:6" ht="18" thickBot="1">
      <c r="A62" s="508" t="s">
        <v>363</v>
      </c>
      <c r="B62" s="399">
        <v>4300</v>
      </c>
      <c r="C62" s="214">
        <v>0.10100000000000001</v>
      </c>
      <c r="D62" s="215">
        <f t="shared" si="2"/>
        <v>0.12648546887869161</v>
      </c>
      <c r="E62" s="451"/>
    </row>
    <row r="63" spans="1:6">
      <c r="A63" s="573" t="s">
        <v>56</v>
      </c>
      <c r="B63" s="152">
        <f>SUM(B59:B62)</f>
        <v>33996</v>
      </c>
      <c r="C63" s="198"/>
      <c r="D63" s="213">
        <f t="shared" si="2"/>
        <v>1</v>
      </c>
    </row>
    <row r="64" spans="1:6">
      <c r="A64" s="573" t="s">
        <v>1</v>
      </c>
      <c r="B64" s="152">
        <v>8211</v>
      </c>
      <c r="C64" s="198">
        <v>0.193</v>
      </c>
      <c r="D64" s="216"/>
    </row>
    <row r="65" spans="1:6">
      <c r="A65" s="574" t="s">
        <v>78</v>
      </c>
      <c r="B65" s="154">
        <v>56</v>
      </c>
      <c r="C65" s="202">
        <v>1E-3</v>
      </c>
      <c r="D65" s="217"/>
    </row>
    <row r="68" spans="1:6" ht="32.4">
      <c r="A68" s="528" t="s">
        <v>3</v>
      </c>
      <c r="B68" s="80" t="s">
        <v>4</v>
      </c>
      <c r="C68" s="102" t="s">
        <v>149</v>
      </c>
      <c r="D68" s="103" t="s">
        <v>148</v>
      </c>
      <c r="F68" s="56"/>
    </row>
    <row r="69" spans="1:6" ht="17.399999999999999">
      <c r="A69" s="555" t="s">
        <v>360</v>
      </c>
      <c r="B69" s="396">
        <v>24180</v>
      </c>
      <c r="C69" s="192">
        <v>0.56999999999999995</v>
      </c>
      <c r="D69" s="193">
        <f>B69/32232</f>
        <v>0.75018615040953085</v>
      </c>
      <c r="E69" s="451"/>
    </row>
    <row r="70" spans="1:6" ht="18" thickBot="1">
      <c r="A70" s="508" t="s">
        <v>361</v>
      </c>
      <c r="B70" s="399">
        <v>8052</v>
      </c>
      <c r="C70" s="199">
        <v>0.189</v>
      </c>
      <c r="D70" s="200">
        <f t="shared" ref="D70:D71" si="3">B70/32232</f>
        <v>0.24981384959046909</v>
      </c>
      <c r="E70" s="451"/>
    </row>
    <row r="71" spans="1:6">
      <c r="A71" s="573" t="s">
        <v>56</v>
      </c>
      <c r="B71" s="152">
        <f>SUM(B69:B70)</f>
        <v>32232</v>
      </c>
      <c r="C71" s="196"/>
      <c r="D71" s="197">
        <f t="shared" si="3"/>
        <v>1</v>
      </c>
    </row>
    <row r="72" spans="1:6">
      <c r="A72" s="573" t="s">
        <v>1</v>
      </c>
      <c r="B72" s="152">
        <v>10147</v>
      </c>
      <c r="C72" s="196">
        <v>0.23899999999999999</v>
      </c>
      <c r="D72" s="206"/>
    </row>
    <row r="73" spans="1:6">
      <c r="A73" s="574" t="s">
        <v>78</v>
      </c>
      <c r="B73" s="154">
        <v>7</v>
      </c>
      <c r="C73" s="207">
        <v>0</v>
      </c>
      <c r="D73" s="208"/>
    </row>
    <row r="76" spans="1:6" ht="32.4">
      <c r="A76" s="542" t="s">
        <v>8</v>
      </c>
      <c r="B76" s="80" t="s">
        <v>4</v>
      </c>
      <c r="C76" s="102" t="s">
        <v>149</v>
      </c>
      <c r="D76" s="103" t="s">
        <v>148</v>
      </c>
      <c r="F76" s="56"/>
    </row>
    <row r="77" spans="1:6" ht="17.399999999999999">
      <c r="A77" s="555" t="s">
        <v>358</v>
      </c>
      <c r="B77" s="396">
        <v>13945</v>
      </c>
      <c r="C77" s="192">
        <v>0.32800000000000001</v>
      </c>
      <c r="D77" s="193">
        <f>B77/34437</f>
        <v>0.40494235850974242</v>
      </c>
      <c r="E77" s="451"/>
      <c r="F77" s="33"/>
    </row>
    <row r="78" spans="1:6" ht="17.399999999999999">
      <c r="A78" s="514" t="s">
        <v>359</v>
      </c>
      <c r="B78" s="397">
        <v>11377</v>
      </c>
      <c r="C78" s="194">
        <v>0.26800000000000002</v>
      </c>
      <c r="D78" s="195">
        <f t="shared" ref="D78:D80" si="4">B78/34437</f>
        <v>0.33037140285158406</v>
      </c>
      <c r="E78" s="451"/>
    </row>
    <row r="79" spans="1:6" ht="18" thickBot="1">
      <c r="A79" s="559" t="s">
        <v>351</v>
      </c>
      <c r="B79" s="400">
        <v>9115</v>
      </c>
      <c r="C79" s="204">
        <v>0.215</v>
      </c>
      <c r="D79" s="205">
        <f t="shared" si="4"/>
        <v>0.26468623863867352</v>
      </c>
      <c r="E79" s="451"/>
    </row>
    <row r="80" spans="1:6">
      <c r="A80" s="573" t="s">
        <v>56</v>
      </c>
      <c r="B80" s="152">
        <f>SUM(B77:B79)</f>
        <v>34437</v>
      </c>
      <c r="C80" s="196"/>
      <c r="D80" s="197">
        <f t="shared" si="4"/>
        <v>1</v>
      </c>
    </row>
    <row r="81" spans="1:4">
      <c r="A81" s="573" t="s">
        <v>1</v>
      </c>
      <c r="B81" s="152">
        <v>7841</v>
      </c>
      <c r="C81" s="196">
        <v>0.184</v>
      </c>
      <c r="D81" s="206"/>
    </row>
    <row r="82" spans="1:4">
      <c r="A82" s="574" t="s">
        <v>78</v>
      </c>
      <c r="B82" s="154">
        <v>40</v>
      </c>
      <c r="C82" s="207">
        <v>0</v>
      </c>
      <c r="D82" s="208"/>
    </row>
    <row r="85" spans="1:4" ht="32.25" customHeight="1">
      <c r="A85" s="738" t="s">
        <v>119</v>
      </c>
      <c r="B85" s="738"/>
      <c r="C85" s="738"/>
      <c r="D85" s="738"/>
    </row>
  </sheetData>
  <mergeCells count="5">
    <mergeCell ref="A5:D5"/>
    <mergeCell ref="A9:D9"/>
    <mergeCell ref="A2:D2"/>
    <mergeCell ref="A85:D85"/>
    <mergeCell ref="A14:D14"/>
  </mergeCells>
  <pageMargins left="0.7" right="0.7" top="0.75" bottom="0.75" header="0.3" footer="0.3"/>
  <pageSetup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189"/>
  <sheetViews>
    <sheetView workbookViewId="0">
      <selection activeCell="F6" sqref="F6"/>
    </sheetView>
  </sheetViews>
  <sheetFormatPr defaultColWidth="9" defaultRowHeight="13.8"/>
  <cols>
    <col min="1" max="1" width="37.19921875" style="570" customWidth="1"/>
    <col min="2" max="2" width="10.59765625" style="158" customWidth="1"/>
    <col min="3" max="4" width="10.59765625" style="163" customWidth="1"/>
    <col min="5" max="5" width="9" style="39" customWidth="1"/>
    <col min="6" max="6" width="9.19921875" style="39" bestFit="1" customWidth="1"/>
    <col min="7" max="16384" width="9" style="39"/>
  </cols>
  <sheetData>
    <row r="2" spans="1:4" ht="27" customHeight="1">
      <c r="A2" s="718" t="s">
        <v>80</v>
      </c>
      <c r="B2" s="719"/>
      <c r="C2" s="719"/>
      <c r="D2" s="720"/>
    </row>
    <row r="3" spans="1:4">
      <c r="A3" s="569" t="s">
        <v>38</v>
      </c>
    </row>
    <row r="5" spans="1:4" ht="29.25" customHeight="1">
      <c r="A5" s="737" t="s">
        <v>57</v>
      </c>
      <c r="B5" s="737"/>
      <c r="C5" s="737"/>
      <c r="D5" s="737"/>
    </row>
    <row r="9" spans="1:4" ht="29.25" customHeight="1">
      <c r="A9" s="701" t="s">
        <v>81</v>
      </c>
      <c r="B9" s="702"/>
      <c r="C9" s="702"/>
      <c r="D9" s="703"/>
    </row>
    <row r="10" spans="1:4">
      <c r="A10" s="569" t="s">
        <v>64</v>
      </c>
    </row>
    <row r="11" spans="1:4">
      <c r="A11" s="569"/>
    </row>
    <row r="12" spans="1:4">
      <c r="A12" s="575" t="s">
        <v>69</v>
      </c>
      <c r="B12" s="415">
        <v>54083</v>
      </c>
      <c r="C12" s="416"/>
      <c r="D12" s="416"/>
    </row>
    <row r="13" spans="1:4">
      <c r="A13" s="575" t="s">
        <v>68</v>
      </c>
      <c r="B13" s="415">
        <v>42848</v>
      </c>
      <c r="C13" s="417">
        <v>0.79200000000000004</v>
      </c>
      <c r="D13" s="416"/>
    </row>
    <row r="14" spans="1:4" ht="27.6" customHeight="1">
      <c r="A14" s="736" t="s">
        <v>150</v>
      </c>
      <c r="B14" s="736"/>
      <c r="C14" s="736"/>
      <c r="D14" s="736"/>
    </row>
    <row r="15" spans="1:4">
      <c r="A15" s="569"/>
    </row>
    <row r="17" spans="1:6" ht="32.4">
      <c r="A17" s="528" t="s">
        <v>65</v>
      </c>
      <c r="B17" s="80" t="s">
        <v>4</v>
      </c>
      <c r="C17" s="102" t="s">
        <v>149</v>
      </c>
      <c r="D17" s="103" t="s">
        <v>148</v>
      </c>
      <c r="F17" s="56"/>
    </row>
    <row r="18" spans="1:6" ht="17.399999999999999">
      <c r="A18" s="547" t="s">
        <v>435</v>
      </c>
      <c r="B18" s="148">
        <v>9298</v>
      </c>
      <c r="C18" s="166">
        <v>0.16200000000000001</v>
      </c>
      <c r="D18" s="172">
        <f t="shared" ref="D18:D25" si="0">B18/115324</f>
        <v>8.0625021678054867E-2</v>
      </c>
      <c r="E18" s="451"/>
      <c r="F18" s="57" t="s">
        <v>79</v>
      </c>
    </row>
    <row r="19" spans="1:6" ht="17.399999999999999">
      <c r="A19" s="514" t="s">
        <v>317</v>
      </c>
      <c r="B19" s="407">
        <v>5229</v>
      </c>
      <c r="C19" s="167">
        <v>9.0999999999999998E-2</v>
      </c>
      <c r="D19" s="173">
        <f t="shared" si="0"/>
        <v>4.5341819569213695E-2</v>
      </c>
      <c r="E19" s="451"/>
    </row>
    <row r="20" spans="1:6" ht="17.399999999999999">
      <c r="A20" s="555" t="s">
        <v>346</v>
      </c>
      <c r="B20" s="158">
        <v>4668</v>
      </c>
      <c r="C20" s="168">
        <v>8.1000000000000003E-2</v>
      </c>
      <c r="D20" s="174">
        <f t="shared" si="0"/>
        <v>4.0477264056050781E-2</v>
      </c>
      <c r="E20" s="451"/>
    </row>
    <row r="21" spans="1:6" ht="17.399999999999999">
      <c r="A21" s="514" t="s">
        <v>436</v>
      </c>
      <c r="B21" s="407">
        <v>3826</v>
      </c>
      <c r="C21" s="167">
        <v>6.6000000000000003E-2</v>
      </c>
      <c r="D21" s="173">
        <f t="shared" si="0"/>
        <v>3.3176095175332106E-2</v>
      </c>
      <c r="E21" s="451"/>
    </row>
    <row r="22" spans="1:6" ht="17.399999999999999">
      <c r="A22" s="555" t="s">
        <v>437</v>
      </c>
      <c r="B22" s="158">
        <v>3577</v>
      </c>
      <c r="C22" s="168">
        <v>6.2E-2</v>
      </c>
      <c r="D22" s="174">
        <f t="shared" si="0"/>
        <v>3.1016960910131456E-2</v>
      </c>
      <c r="E22" s="451"/>
    </row>
    <row r="23" spans="1:6" ht="17.399999999999999">
      <c r="A23" s="514" t="s">
        <v>438</v>
      </c>
      <c r="B23" s="407">
        <v>3541</v>
      </c>
      <c r="C23" s="167">
        <v>6.0999999999999999E-2</v>
      </c>
      <c r="D23" s="173">
        <f t="shared" si="0"/>
        <v>3.0704796919981965E-2</v>
      </c>
      <c r="E23" s="451"/>
    </row>
    <row r="24" spans="1:6" ht="17.399999999999999">
      <c r="A24" s="555" t="s">
        <v>439</v>
      </c>
      <c r="B24" s="158">
        <v>3523</v>
      </c>
      <c r="C24" s="168">
        <v>6.0999999999999999E-2</v>
      </c>
      <c r="D24" s="174">
        <f t="shared" si="0"/>
        <v>3.0548714924907218E-2</v>
      </c>
      <c r="E24" s="451"/>
    </row>
    <row r="25" spans="1:6" ht="17.399999999999999">
      <c r="A25" s="514" t="s">
        <v>440</v>
      </c>
      <c r="B25" s="407">
        <v>3343</v>
      </c>
      <c r="C25" s="167">
        <v>5.8000000000000003E-2</v>
      </c>
      <c r="D25" s="173">
        <f t="shared" si="0"/>
        <v>2.898789497415976E-2</v>
      </c>
      <c r="E25" s="451"/>
    </row>
    <row r="26" spans="1:6" ht="17.399999999999999">
      <c r="A26" s="555" t="s">
        <v>358</v>
      </c>
      <c r="B26" s="158">
        <v>3331</v>
      </c>
      <c r="C26" s="168">
        <v>5.8000000000000003E-2</v>
      </c>
      <c r="D26" s="174">
        <f t="shared" ref="D26:D49" si="1">B26/115324</f>
        <v>2.8883840310776596E-2</v>
      </c>
      <c r="E26" s="451"/>
    </row>
    <row r="27" spans="1:6" ht="17.399999999999999">
      <c r="A27" s="514" t="s">
        <v>441</v>
      </c>
      <c r="B27" s="407">
        <v>3242</v>
      </c>
      <c r="C27" s="167">
        <v>5.6000000000000001E-2</v>
      </c>
      <c r="D27" s="173">
        <f t="shared" si="1"/>
        <v>2.8112101557351461E-2</v>
      </c>
      <c r="E27" s="451"/>
    </row>
    <row r="28" spans="1:6" ht="17.399999999999999">
      <c r="A28" s="555" t="s">
        <v>375</v>
      </c>
      <c r="B28" s="158">
        <v>2956</v>
      </c>
      <c r="C28" s="168">
        <v>5.0999999999999997E-2</v>
      </c>
      <c r="D28" s="174">
        <f t="shared" si="1"/>
        <v>2.563213208005272E-2</v>
      </c>
      <c r="E28" s="451"/>
    </row>
    <row r="29" spans="1:6" ht="17.399999999999999">
      <c r="A29" s="548" t="s">
        <v>442</v>
      </c>
      <c r="B29" s="407">
        <v>2564</v>
      </c>
      <c r="C29" s="167">
        <v>4.3999999999999997E-2</v>
      </c>
      <c r="D29" s="173">
        <f t="shared" si="1"/>
        <v>2.22330130762027E-2</v>
      </c>
      <c r="E29" s="451"/>
    </row>
    <row r="30" spans="1:6" ht="17.399999999999999">
      <c r="A30" s="555" t="s">
        <v>443</v>
      </c>
      <c r="B30" s="158">
        <v>2499</v>
      </c>
      <c r="C30" s="168">
        <v>4.2999999999999997E-2</v>
      </c>
      <c r="D30" s="174">
        <f t="shared" si="1"/>
        <v>2.1669383649543895E-2</v>
      </c>
      <c r="E30" s="451"/>
    </row>
    <row r="31" spans="1:6" ht="17.399999999999999">
      <c r="A31" s="514" t="s">
        <v>444</v>
      </c>
      <c r="B31" s="412">
        <v>2401</v>
      </c>
      <c r="C31" s="167">
        <v>4.1000000000000002E-2</v>
      </c>
      <c r="D31" s="173">
        <f t="shared" si="1"/>
        <v>2.0819603898581389E-2</v>
      </c>
      <c r="E31" s="451"/>
    </row>
    <row r="32" spans="1:6" ht="17.399999999999999">
      <c r="A32" s="555" t="s">
        <v>445</v>
      </c>
      <c r="B32" s="413">
        <v>2398</v>
      </c>
      <c r="C32" s="168">
        <v>4.1000000000000002E-2</v>
      </c>
      <c r="D32" s="174">
        <f t="shared" si="1"/>
        <v>2.0793590232735595E-2</v>
      </c>
      <c r="E32" s="451"/>
    </row>
    <row r="33" spans="1:8" ht="17.399999999999999">
      <c r="A33" s="514" t="s">
        <v>446</v>
      </c>
      <c r="B33" s="412">
        <v>2366</v>
      </c>
      <c r="C33" s="167">
        <v>4.1000000000000002E-2</v>
      </c>
      <c r="D33" s="173">
        <f t="shared" si="1"/>
        <v>2.0516111130380495E-2</v>
      </c>
      <c r="E33" s="451"/>
    </row>
    <row r="34" spans="1:8" ht="17.399999999999999">
      <c r="A34" s="555" t="s">
        <v>447</v>
      </c>
      <c r="B34" s="413">
        <v>2268</v>
      </c>
      <c r="C34" s="168">
        <v>3.9E-2</v>
      </c>
      <c r="D34" s="174">
        <f t="shared" si="1"/>
        <v>1.9666331379417989E-2</v>
      </c>
      <c r="E34" s="451"/>
    </row>
    <row r="35" spans="1:8" ht="17.399999999999999">
      <c r="A35" s="514" t="s">
        <v>448</v>
      </c>
      <c r="B35" s="412">
        <v>2258</v>
      </c>
      <c r="C35" s="167">
        <v>3.9E-2</v>
      </c>
      <c r="D35" s="173">
        <f t="shared" si="1"/>
        <v>1.9579619159932019E-2</v>
      </c>
      <c r="E35" s="451"/>
    </row>
    <row r="36" spans="1:8" ht="17.399999999999999">
      <c r="A36" s="555" t="s">
        <v>449</v>
      </c>
      <c r="B36" s="158">
        <v>2083</v>
      </c>
      <c r="C36" s="169">
        <v>3.5999999999999997E-2</v>
      </c>
      <c r="D36" s="174">
        <f t="shared" si="1"/>
        <v>1.8062155318927544E-2</v>
      </c>
      <c r="E36" s="451"/>
    </row>
    <row r="37" spans="1:8" ht="17.399999999999999">
      <c r="A37" s="514" t="s">
        <v>450</v>
      </c>
      <c r="B37" s="412">
        <v>2048</v>
      </c>
      <c r="C37" s="170">
        <v>3.5000000000000003E-2</v>
      </c>
      <c r="D37" s="173">
        <f t="shared" si="1"/>
        <v>1.775866255072665E-2</v>
      </c>
      <c r="E37" s="451"/>
    </row>
    <row r="38" spans="1:8" ht="17.399999999999999">
      <c r="A38" s="555" t="s">
        <v>451</v>
      </c>
      <c r="B38" s="413">
        <v>1990</v>
      </c>
      <c r="C38" s="169">
        <v>3.4000000000000002E-2</v>
      </c>
      <c r="D38" s="174">
        <f t="shared" si="1"/>
        <v>1.7255731677708021E-2</v>
      </c>
      <c r="E38" s="451"/>
    </row>
    <row r="39" spans="1:8" ht="17.399999999999999">
      <c r="A39" s="523" t="s">
        <v>369</v>
      </c>
      <c r="B39" s="412">
        <v>1975</v>
      </c>
      <c r="C39" s="170">
        <v>3.4000000000000002E-2</v>
      </c>
      <c r="D39" s="173">
        <f t="shared" si="1"/>
        <v>1.7125663348479068E-2</v>
      </c>
      <c r="E39" s="451"/>
    </row>
    <row r="40" spans="1:8" ht="17.399999999999999">
      <c r="A40" s="576" t="s">
        <v>452</v>
      </c>
      <c r="B40" s="413">
        <v>1959</v>
      </c>
      <c r="C40" s="169">
        <v>3.4000000000000002E-2</v>
      </c>
      <c r="D40" s="174">
        <f t="shared" si="1"/>
        <v>1.6986923797301514E-2</v>
      </c>
      <c r="E40" s="451"/>
      <c r="G40" s="3"/>
      <c r="H40" s="3"/>
    </row>
    <row r="41" spans="1:8" ht="17.399999999999999">
      <c r="A41" s="577" t="s">
        <v>453</v>
      </c>
      <c r="B41" s="456">
        <v>1893</v>
      </c>
      <c r="C41" s="457">
        <v>3.3000000000000002E-2</v>
      </c>
      <c r="D41" s="173">
        <f t="shared" si="1"/>
        <v>1.6414623148694112E-2</v>
      </c>
      <c r="E41" s="451"/>
      <c r="G41" s="3"/>
      <c r="H41" s="3"/>
    </row>
    <row r="42" spans="1:8" ht="17.399999999999999">
      <c r="A42" s="555" t="s">
        <v>454</v>
      </c>
      <c r="B42" s="413">
        <v>1767</v>
      </c>
      <c r="C42" s="168">
        <v>0.03</v>
      </c>
      <c r="D42" s="174">
        <f t="shared" si="1"/>
        <v>1.5322049183170892E-2</v>
      </c>
      <c r="E42" s="451"/>
      <c r="G42" s="3"/>
      <c r="H42" s="3"/>
    </row>
    <row r="43" spans="1:8" ht="17.399999999999999">
      <c r="A43" s="514" t="s">
        <v>455</v>
      </c>
      <c r="B43" s="407">
        <v>1761</v>
      </c>
      <c r="C43" s="167">
        <v>0.03</v>
      </c>
      <c r="D43" s="173">
        <f t="shared" si="1"/>
        <v>1.5270021851479311E-2</v>
      </c>
      <c r="E43" s="451"/>
      <c r="G43" s="52"/>
      <c r="H43" s="3"/>
    </row>
    <row r="44" spans="1:8" ht="17.399999999999999">
      <c r="A44" s="555" t="s">
        <v>456</v>
      </c>
      <c r="B44" s="413">
        <v>1712</v>
      </c>
      <c r="C44" s="169">
        <v>2.8999999999999998E-2</v>
      </c>
      <c r="D44" s="174">
        <f t="shared" si="1"/>
        <v>1.4845131975998058E-2</v>
      </c>
      <c r="E44" s="451"/>
      <c r="G44" s="3"/>
      <c r="H44" s="3"/>
    </row>
    <row r="45" spans="1:8" ht="17.399999999999999">
      <c r="A45" s="514" t="s">
        <v>457</v>
      </c>
      <c r="B45" s="456">
        <v>1636</v>
      </c>
      <c r="C45" s="457">
        <v>2.7999999999999997E-2</v>
      </c>
      <c r="D45" s="173">
        <f t="shared" si="1"/>
        <v>1.4186119107904686E-2</v>
      </c>
      <c r="E45" s="451"/>
      <c r="G45" s="3"/>
      <c r="H45" s="3"/>
    </row>
    <row r="46" spans="1:8" ht="17.399999999999999">
      <c r="A46" s="555" t="s">
        <v>458</v>
      </c>
      <c r="B46" s="158">
        <v>1486</v>
      </c>
      <c r="C46" s="168">
        <v>2.5000000000000001E-2</v>
      </c>
      <c r="D46" s="174">
        <f t="shared" si="1"/>
        <v>1.2885435815615137E-2</v>
      </c>
      <c r="E46" s="451"/>
      <c r="G46" s="3"/>
      <c r="H46" s="3"/>
    </row>
    <row r="47" spans="1:8" ht="17.399999999999999">
      <c r="A47" s="514" t="s">
        <v>459</v>
      </c>
      <c r="B47" s="407">
        <v>1449</v>
      </c>
      <c r="C47" s="167">
        <v>2.5000000000000001E-2</v>
      </c>
      <c r="D47" s="173">
        <f t="shared" si="1"/>
        <v>1.2564600603517048E-2</v>
      </c>
      <c r="E47" s="451"/>
      <c r="G47" s="3"/>
      <c r="H47" s="3"/>
    </row>
    <row r="48" spans="1:8" ht="17.399999999999999">
      <c r="A48" s="555" t="s">
        <v>460</v>
      </c>
      <c r="B48" s="413">
        <v>1448</v>
      </c>
      <c r="C48" s="169">
        <v>2.5000000000000001E-2</v>
      </c>
      <c r="D48" s="174">
        <f t="shared" si="1"/>
        <v>1.2555929381568451E-2</v>
      </c>
      <c r="E48" s="451"/>
      <c r="G48" s="3"/>
      <c r="H48" s="3"/>
    </row>
    <row r="49" spans="1:8" ht="17.399999999999999">
      <c r="A49" s="577" t="s">
        <v>461</v>
      </c>
      <c r="B49" s="456">
        <v>1321</v>
      </c>
      <c r="C49" s="457">
        <v>2.3E-2</v>
      </c>
      <c r="D49" s="173">
        <f t="shared" si="1"/>
        <v>1.1454684194096633E-2</v>
      </c>
      <c r="E49" s="451"/>
      <c r="G49" s="53"/>
      <c r="H49" s="3"/>
    </row>
    <row r="50" spans="1:8" ht="17.399999999999999">
      <c r="A50" s="576" t="s">
        <v>462</v>
      </c>
      <c r="B50" s="458">
        <v>1253</v>
      </c>
      <c r="C50" s="459">
        <v>2.1000000000000001E-2</v>
      </c>
      <c r="D50" s="174">
        <f t="shared" ref="D50:D75" si="2">B50/115324</f>
        <v>1.0865041101592036E-2</v>
      </c>
      <c r="E50" s="451"/>
      <c r="G50" s="3"/>
      <c r="H50" s="3"/>
    </row>
    <row r="51" spans="1:8" ht="17.399999999999999">
      <c r="A51" s="514" t="s">
        <v>463</v>
      </c>
      <c r="B51" s="412">
        <v>1164</v>
      </c>
      <c r="C51" s="170">
        <v>0.02</v>
      </c>
      <c r="D51" s="173">
        <f t="shared" si="2"/>
        <v>1.0093302348166903E-2</v>
      </c>
      <c r="E51" s="451"/>
      <c r="G51" s="3"/>
      <c r="H51" s="3"/>
    </row>
    <row r="52" spans="1:8" ht="17.399999999999999">
      <c r="A52" s="576" t="s">
        <v>464</v>
      </c>
      <c r="B52" s="413">
        <v>1159</v>
      </c>
      <c r="C52" s="169">
        <v>0.02</v>
      </c>
      <c r="D52" s="174">
        <f t="shared" si="2"/>
        <v>1.0049946238423918E-2</v>
      </c>
      <c r="E52" s="451"/>
      <c r="G52" s="52"/>
      <c r="H52" s="3"/>
    </row>
    <row r="53" spans="1:8" ht="17.399999999999999">
      <c r="A53" s="577" t="s">
        <v>465</v>
      </c>
      <c r="B53" s="456">
        <v>1055</v>
      </c>
      <c r="C53" s="457">
        <v>1.8000000000000002E-2</v>
      </c>
      <c r="D53" s="173">
        <f t="shared" si="2"/>
        <v>9.1481391557698306E-3</v>
      </c>
      <c r="E53" s="451"/>
      <c r="G53" s="3"/>
      <c r="H53" s="3"/>
    </row>
    <row r="54" spans="1:8" ht="17.399999999999999">
      <c r="A54" s="555" t="s">
        <v>466</v>
      </c>
      <c r="B54" s="158">
        <v>971</v>
      </c>
      <c r="C54" s="168">
        <v>1.6E-2</v>
      </c>
      <c r="D54" s="174">
        <f t="shared" si="2"/>
        <v>8.4197565120876835E-3</v>
      </c>
      <c r="E54" s="451"/>
      <c r="G54" s="3"/>
      <c r="H54" s="3"/>
    </row>
    <row r="55" spans="1:8" ht="17.399999999999999">
      <c r="A55" s="577" t="s">
        <v>467</v>
      </c>
      <c r="B55" s="407">
        <v>941</v>
      </c>
      <c r="C55" s="167">
        <v>1.6E-2</v>
      </c>
      <c r="D55" s="173">
        <f t="shared" si="2"/>
        <v>8.1596198536297727E-3</v>
      </c>
      <c r="E55" s="451"/>
      <c r="G55" s="3"/>
      <c r="H55" s="3"/>
    </row>
    <row r="56" spans="1:8" ht="17.399999999999999">
      <c r="A56" s="576" t="s">
        <v>468</v>
      </c>
      <c r="B56" s="458">
        <v>927</v>
      </c>
      <c r="C56" s="459">
        <v>1.6E-2</v>
      </c>
      <c r="D56" s="174">
        <f t="shared" si="2"/>
        <v>8.0382227463494157E-3</v>
      </c>
      <c r="E56" s="451"/>
      <c r="G56" s="3"/>
      <c r="H56" s="3"/>
    </row>
    <row r="57" spans="1:8" ht="17.399999999999999">
      <c r="A57" s="577" t="s">
        <v>469</v>
      </c>
      <c r="B57" s="456">
        <v>870</v>
      </c>
      <c r="C57" s="457">
        <v>1.4999999999999999E-2</v>
      </c>
      <c r="D57" s="173">
        <f t="shared" si="2"/>
        <v>7.5439630952793867E-3</v>
      </c>
      <c r="E57" s="451"/>
      <c r="G57" s="3"/>
      <c r="H57" s="3"/>
    </row>
    <row r="58" spans="1:8" ht="17.399999999999999">
      <c r="A58" s="576" t="s">
        <v>470</v>
      </c>
      <c r="B58" s="158">
        <v>849</v>
      </c>
      <c r="C58" s="168">
        <v>1.3999999999999999E-2</v>
      </c>
      <c r="D58" s="174">
        <f t="shared" si="2"/>
        <v>7.3618674343588495E-3</v>
      </c>
      <c r="E58" s="451"/>
      <c r="G58" s="3"/>
      <c r="H58" s="3"/>
    </row>
    <row r="59" spans="1:8" ht="17.399999999999999">
      <c r="A59" s="577" t="s">
        <v>471</v>
      </c>
      <c r="B59" s="456">
        <v>830</v>
      </c>
      <c r="C59" s="457">
        <v>1.3999999999999999E-2</v>
      </c>
      <c r="D59" s="173">
        <f t="shared" si="2"/>
        <v>7.1971142173355073E-3</v>
      </c>
      <c r="E59" s="451"/>
      <c r="G59" s="3"/>
      <c r="H59" s="3"/>
    </row>
    <row r="60" spans="1:8" ht="17.399999999999999">
      <c r="A60" s="555" t="s">
        <v>472</v>
      </c>
      <c r="B60" s="458">
        <v>825</v>
      </c>
      <c r="C60" s="459">
        <v>1.3999999999999999E-2</v>
      </c>
      <c r="D60" s="174">
        <f t="shared" si="2"/>
        <v>7.1537581075925222E-3</v>
      </c>
      <c r="E60" s="451"/>
      <c r="G60" s="3"/>
      <c r="H60" s="3"/>
    </row>
    <row r="61" spans="1:8" ht="17.399999999999999">
      <c r="A61" s="514" t="s">
        <v>473</v>
      </c>
      <c r="B61" s="456">
        <v>780</v>
      </c>
      <c r="C61" s="457">
        <v>1.3000000000000001E-2</v>
      </c>
      <c r="D61" s="173">
        <f t="shared" si="2"/>
        <v>6.7635531199056569E-3</v>
      </c>
      <c r="E61" s="451"/>
      <c r="G61" s="3"/>
      <c r="H61" s="3"/>
    </row>
    <row r="62" spans="1:8" ht="17.399999999999999">
      <c r="A62" s="576" t="s">
        <v>474</v>
      </c>
      <c r="B62" s="458">
        <v>779</v>
      </c>
      <c r="C62" s="459">
        <v>1.3000000000000001E-2</v>
      </c>
      <c r="D62" s="174">
        <f t="shared" si="2"/>
        <v>6.7548818979570602E-3</v>
      </c>
      <c r="E62" s="451"/>
      <c r="G62" s="3"/>
      <c r="H62" s="3"/>
    </row>
    <row r="63" spans="1:8" ht="17.399999999999999">
      <c r="A63" s="577" t="s">
        <v>475</v>
      </c>
      <c r="B63" s="456">
        <v>715</v>
      </c>
      <c r="C63" s="457">
        <v>1.2E-2</v>
      </c>
      <c r="D63" s="173">
        <f t="shared" si="2"/>
        <v>6.1999236932468527E-3</v>
      </c>
      <c r="E63" s="451"/>
      <c r="G63" s="52"/>
      <c r="H63" s="3"/>
    </row>
    <row r="64" spans="1:8" ht="17.399999999999999">
      <c r="A64" s="555" t="s">
        <v>476</v>
      </c>
      <c r="B64" s="413">
        <v>707</v>
      </c>
      <c r="C64" s="169">
        <v>1.2E-2</v>
      </c>
      <c r="D64" s="174">
        <f t="shared" si="2"/>
        <v>6.1305539176580767E-3</v>
      </c>
      <c r="E64" s="451"/>
      <c r="G64" s="3"/>
      <c r="H64" s="3"/>
    </row>
    <row r="65" spans="1:8" ht="17.399999999999999">
      <c r="A65" s="577" t="s">
        <v>477</v>
      </c>
      <c r="B65" s="456">
        <v>684</v>
      </c>
      <c r="C65" s="457">
        <v>1.1000000000000001E-2</v>
      </c>
      <c r="D65" s="173">
        <f t="shared" si="2"/>
        <v>5.9311158128403452E-3</v>
      </c>
      <c r="E65" s="451"/>
      <c r="G65" s="3"/>
      <c r="H65" s="3"/>
    </row>
    <row r="66" spans="1:8" ht="17.399999999999999">
      <c r="A66" s="555" t="s">
        <v>478</v>
      </c>
      <c r="B66" s="413">
        <v>681</v>
      </c>
      <c r="C66" s="169">
        <v>1.1000000000000001E-2</v>
      </c>
      <c r="D66" s="174">
        <f t="shared" si="2"/>
        <v>5.9051021469945543E-3</v>
      </c>
      <c r="E66" s="451"/>
      <c r="G66" s="3"/>
      <c r="H66" s="3"/>
    </row>
    <row r="67" spans="1:8" ht="17.399999999999999">
      <c r="A67" s="577" t="s">
        <v>479</v>
      </c>
      <c r="B67" s="456">
        <v>645</v>
      </c>
      <c r="C67" s="457">
        <v>1.1000000000000001E-2</v>
      </c>
      <c r="D67" s="173">
        <f t="shared" si="2"/>
        <v>5.5929381568450625E-3</v>
      </c>
      <c r="E67" s="451"/>
      <c r="G67" s="3"/>
      <c r="H67" s="3"/>
    </row>
    <row r="68" spans="1:8" ht="17.399999999999999">
      <c r="A68" s="576" t="s">
        <v>480</v>
      </c>
      <c r="B68" s="458">
        <v>628</v>
      </c>
      <c r="C68" s="459">
        <v>0.01</v>
      </c>
      <c r="D68" s="174">
        <f t="shared" si="2"/>
        <v>5.4455273837189138E-3</v>
      </c>
      <c r="E68" s="451"/>
      <c r="G68" s="3"/>
      <c r="H68" s="3"/>
    </row>
    <row r="69" spans="1:8" ht="17.399999999999999">
      <c r="A69" s="577" t="s">
        <v>481</v>
      </c>
      <c r="B69" s="456">
        <v>628</v>
      </c>
      <c r="C69" s="457">
        <v>0.01</v>
      </c>
      <c r="D69" s="173">
        <f t="shared" si="2"/>
        <v>5.4455273837189138E-3</v>
      </c>
      <c r="E69" s="451"/>
      <c r="G69" s="3"/>
      <c r="H69" s="3"/>
    </row>
    <row r="70" spans="1:8" ht="17.399999999999999">
      <c r="A70" s="576" t="s">
        <v>482</v>
      </c>
      <c r="B70" s="458">
        <v>568</v>
      </c>
      <c r="C70" s="169">
        <v>9.0000000000000011E-3</v>
      </c>
      <c r="D70" s="174">
        <f t="shared" si="2"/>
        <v>4.9252540668030939E-3</v>
      </c>
      <c r="E70" s="451"/>
      <c r="G70" s="3"/>
      <c r="H70" s="3"/>
    </row>
    <row r="71" spans="1:8" ht="17.399999999999999">
      <c r="A71" s="577" t="s">
        <v>483</v>
      </c>
      <c r="B71" s="407">
        <v>545</v>
      </c>
      <c r="C71" s="167">
        <v>9.0000000000000011E-3</v>
      </c>
      <c r="D71" s="173">
        <f t="shared" si="2"/>
        <v>4.7258159619853633E-3</v>
      </c>
      <c r="E71" s="451"/>
      <c r="G71" s="3"/>
      <c r="H71" s="3"/>
    </row>
    <row r="72" spans="1:8" ht="17.399999999999999">
      <c r="A72" s="555" t="s">
        <v>484</v>
      </c>
      <c r="B72" s="158">
        <v>528</v>
      </c>
      <c r="C72" s="168">
        <v>9.0000000000000011E-3</v>
      </c>
      <c r="D72" s="174">
        <f t="shared" si="2"/>
        <v>4.5784051888592137E-3</v>
      </c>
      <c r="E72" s="451"/>
      <c r="G72" s="3"/>
      <c r="H72" s="3"/>
    </row>
    <row r="73" spans="1:8" ht="17.399999999999999">
      <c r="A73" s="577" t="s">
        <v>485</v>
      </c>
      <c r="B73" s="412">
        <v>503</v>
      </c>
      <c r="C73" s="170">
        <v>8.0000000000000002E-3</v>
      </c>
      <c r="D73" s="173">
        <f t="shared" si="2"/>
        <v>4.3616246401442888E-3</v>
      </c>
      <c r="E73" s="451"/>
      <c r="G73" s="3"/>
      <c r="H73" s="3"/>
    </row>
    <row r="74" spans="1:8" ht="17.399999999999999">
      <c r="A74" s="576" t="s">
        <v>486</v>
      </c>
      <c r="B74" s="158">
        <v>501</v>
      </c>
      <c r="C74" s="168">
        <v>8.0000000000000002E-3</v>
      </c>
      <c r="D74" s="174">
        <f t="shared" si="2"/>
        <v>4.3442821962470955E-3</v>
      </c>
      <c r="E74" s="451"/>
      <c r="G74" s="3"/>
      <c r="H74" s="3"/>
    </row>
    <row r="75" spans="1:8" ht="17.399999999999999">
      <c r="A75" s="514" t="s">
        <v>487</v>
      </c>
      <c r="B75" s="407">
        <v>487</v>
      </c>
      <c r="C75" s="167">
        <v>8.0000000000000002E-3</v>
      </c>
      <c r="D75" s="173">
        <f t="shared" si="2"/>
        <v>4.2228850889667368E-3</v>
      </c>
      <c r="E75" s="451"/>
      <c r="G75" s="3"/>
      <c r="H75" s="3"/>
    </row>
    <row r="76" spans="1:8" ht="17.399999999999999">
      <c r="A76" s="576" t="s">
        <v>488</v>
      </c>
      <c r="B76" s="458">
        <v>486</v>
      </c>
      <c r="C76" s="459">
        <v>8.0000000000000002E-3</v>
      </c>
      <c r="D76" s="174">
        <f>B76/115324</f>
        <v>4.2142138670181401E-3</v>
      </c>
      <c r="E76" s="451"/>
      <c r="G76" s="3"/>
      <c r="H76" s="3"/>
    </row>
    <row r="77" spans="1:8" ht="17.399999999999999">
      <c r="A77" s="514" t="s">
        <v>489</v>
      </c>
      <c r="B77" s="412">
        <v>476</v>
      </c>
      <c r="C77" s="457">
        <v>8.0000000000000002E-3</v>
      </c>
      <c r="D77" s="173">
        <f t="shared" ref="D77:D98" si="3">B77/115324</f>
        <v>4.1275016475321698E-3</v>
      </c>
      <c r="E77" s="451"/>
      <c r="G77" s="3"/>
      <c r="H77" s="3"/>
    </row>
    <row r="78" spans="1:8" ht="17.399999999999999">
      <c r="A78" s="576" t="s">
        <v>490</v>
      </c>
      <c r="B78" s="458">
        <v>472</v>
      </c>
      <c r="C78" s="459">
        <v>8.0000000000000002E-3</v>
      </c>
      <c r="D78" s="174">
        <f t="shared" si="3"/>
        <v>4.0928167597377822E-3</v>
      </c>
      <c r="E78" s="451"/>
      <c r="G78" s="3"/>
      <c r="H78" s="3"/>
    </row>
    <row r="79" spans="1:8" ht="17.399999999999999">
      <c r="A79" s="577" t="s">
        <v>491</v>
      </c>
      <c r="B79" s="456">
        <v>469</v>
      </c>
      <c r="C79" s="457">
        <v>8.0000000000000002E-3</v>
      </c>
      <c r="D79" s="173">
        <f t="shared" si="3"/>
        <v>4.0668030938919913E-3</v>
      </c>
      <c r="E79" s="451"/>
      <c r="G79" s="3"/>
      <c r="H79" s="3"/>
    </row>
    <row r="80" spans="1:8" ht="17.399999999999999">
      <c r="A80" s="576" t="s">
        <v>492</v>
      </c>
      <c r="B80" s="458">
        <v>442</v>
      </c>
      <c r="C80" s="459">
        <v>6.9999999999999993E-3</v>
      </c>
      <c r="D80" s="174">
        <f t="shared" si="3"/>
        <v>3.8326801012798723E-3</v>
      </c>
      <c r="E80" s="451"/>
      <c r="G80" s="3"/>
      <c r="H80" s="3"/>
    </row>
    <row r="81" spans="1:8" ht="17.399999999999999">
      <c r="A81" s="577" t="s">
        <v>493</v>
      </c>
      <c r="B81" s="456">
        <v>435</v>
      </c>
      <c r="C81" s="457">
        <v>6.9999999999999993E-3</v>
      </c>
      <c r="D81" s="173">
        <f t="shared" si="3"/>
        <v>3.7719815476396933E-3</v>
      </c>
      <c r="E81" s="451"/>
      <c r="G81" s="3"/>
      <c r="H81" s="3"/>
    </row>
    <row r="82" spans="1:8" ht="17.399999999999999">
      <c r="A82" s="576" t="s">
        <v>494</v>
      </c>
      <c r="B82" s="413">
        <v>394</v>
      </c>
      <c r="C82" s="169">
        <v>6.0000000000000001E-3</v>
      </c>
      <c r="D82" s="174">
        <f t="shared" si="3"/>
        <v>3.4164614477472165E-3</v>
      </c>
      <c r="E82" s="451"/>
      <c r="G82" s="3"/>
      <c r="H82" s="3"/>
    </row>
    <row r="83" spans="1:8" ht="17.399999999999999">
      <c r="A83" s="577" t="s">
        <v>495</v>
      </c>
      <c r="B83" s="456">
        <v>374</v>
      </c>
      <c r="C83" s="457">
        <v>6.0000000000000001E-3</v>
      </c>
      <c r="D83" s="173">
        <f t="shared" si="3"/>
        <v>3.2430370087752768E-3</v>
      </c>
      <c r="E83" s="451"/>
      <c r="G83" s="3"/>
      <c r="H83" s="3"/>
    </row>
    <row r="84" spans="1:8" ht="17.399999999999999">
      <c r="A84" s="576" t="s">
        <v>496</v>
      </c>
      <c r="B84" s="458">
        <v>371</v>
      </c>
      <c r="C84" s="459">
        <v>6.0000000000000001E-3</v>
      </c>
      <c r="D84" s="174">
        <f t="shared" si="3"/>
        <v>3.2170233429294854E-3</v>
      </c>
      <c r="E84" s="451"/>
      <c r="G84" s="52"/>
      <c r="H84" s="3"/>
    </row>
    <row r="85" spans="1:8" ht="17.399999999999999">
      <c r="A85" s="577" t="s">
        <v>497</v>
      </c>
      <c r="B85" s="456">
        <v>351</v>
      </c>
      <c r="C85" s="457">
        <v>6.0000000000000001E-3</v>
      </c>
      <c r="D85" s="173">
        <f t="shared" si="3"/>
        <v>3.0435989039575458E-3</v>
      </c>
      <c r="E85" s="451"/>
      <c r="G85" s="52"/>
      <c r="H85" s="3"/>
    </row>
    <row r="86" spans="1:8" ht="17.399999999999999">
      <c r="A86" s="576" t="s">
        <v>382</v>
      </c>
      <c r="B86" s="458">
        <v>338</v>
      </c>
      <c r="C86" s="459">
        <v>5.0000000000000001E-3</v>
      </c>
      <c r="D86" s="174">
        <f t="shared" si="3"/>
        <v>2.9308730186257846E-3</v>
      </c>
      <c r="E86" s="451"/>
      <c r="G86" s="52"/>
      <c r="H86" s="3"/>
    </row>
    <row r="87" spans="1:8" ht="17.399999999999999">
      <c r="A87" s="577" t="s">
        <v>352</v>
      </c>
      <c r="B87" s="456">
        <v>324</v>
      </c>
      <c r="C87" s="457">
        <v>5.0000000000000001E-3</v>
      </c>
      <c r="D87" s="173">
        <f t="shared" si="3"/>
        <v>2.8094759113454267E-3</v>
      </c>
      <c r="E87" s="451"/>
      <c r="G87" s="52"/>
      <c r="H87" s="3"/>
    </row>
    <row r="88" spans="1:8" ht="17.399999999999999">
      <c r="A88" s="576" t="s">
        <v>498</v>
      </c>
      <c r="B88" s="458">
        <v>309</v>
      </c>
      <c r="C88" s="459">
        <v>5.0000000000000001E-3</v>
      </c>
      <c r="D88" s="174">
        <f t="shared" si="3"/>
        <v>2.6794075821164717E-3</v>
      </c>
      <c r="E88" s="451"/>
      <c r="G88" s="52"/>
      <c r="H88" s="3"/>
    </row>
    <row r="89" spans="1:8" ht="17.399999999999999">
      <c r="A89" s="577" t="s">
        <v>499</v>
      </c>
      <c r="B89" s="456">
        <v>281</v>
      </c>
      <c r="C89" s="457">
        <v>4.0000000000000001E-3</v>
      </c>
      <c r="D89" s="173">
        <f t="shared" si="3"/>
        <v>2.436613367555756E-3</v>
      </c>
      <c r="E89" s="451"/>
      <c r="G89" s="52"/>
      <c r="H89" s="3"/>
    </row>
    <row r="90" spans="1:8" ht="17.399999999999999">
      <c r="A90" s="555" t="s">
        <v>500</v>
      </c>
      <c r="B90" s="458">
        <v>264</v>
      </c>
      <c r="C90" s="169">
        <v>4.0000000000000001E-3</v>
      </c>
      <c r="D90" s="174">
        <f t="shared" si="3"/>
        <v>2.2892025944296068E-3</v>
      </c>
      <c r="E90" s="451"/>
      <c r="G90" s="52"/>
      <c r="H90" s="3"/>
    </row>
    <row r="91" spans="1:8" ht="17.399999999999999">
      <c r="A91" s="577" t="s">
        <v>501</v>
      </c>
      <c r="B91" s="456">
        <v>251</v>
      </c>
      <c r="C91" s="457">
        <v>4.0000000000000001E-3</v>
      </c>
      <c r="D91" s="173">
        <f t="shared" si="3"/>
        <v>2.1764767090978461E-3</v>
      </c>
      <c r="E91" s="451"/>
      <c r="G91" s="52"/>
      <c r="H91" s="3"/>
    </row>
    <row r="92" spans="1:8" ht="17.399999999999999">
      <c r="A92" s="576" t="s">
        <v>502</v>
      </c>
      <c r="B92" s="458">
        <v>250</v>
      </c>
      <c r="C92" s="459">
        <v>4.0000000000000001E-3</v>
      </c>
      <c r="D92" s="174">
        <f t="shared" si="3"/>
        <v>2.167805487149249E-3</v>
      </c>
      <c r="E92" s="451"/>
      <c r="G92" s="52"/>
      <c r="H92" s="3"/>
    </row>
    <row r="93" spans="1:8" ht="17.399999999999999">
      <c r="A93" s="577" t="s">
        <v>503</v>
      </c>
      <c r="B93" s="456">
        <v>241</v>
      </c>
      <c r="C93" s="457">
        <v>4.0000000000000001E-3</v>
      </c>
      <c r="D93" s="173">
        <f t="shared" si="3"/>
        <v>2.0897644896118762E-3</v>
      </c>
      <c r="E93" s="451"/>
      <c r="G93" s="3"/>
      <c r="H93" s="3"/>
    </row>
    <row r="94" spans="1:8" ht="17.399999999999999">
      <c r="A94" s="555" t="s">
        <v>504</v>
      </c>
      <c r="B94" s="413">
        <v>237</v>
      </c>
      <c r="C94" s="169">
        <v>4.0000000000000001E-3</v>
      </c>
      <c r="D94" s="174">
        <f t="shared" si="3"/>
        <v>2.0550796018174882E-3</v>
      </c>
      <c r="E94" s="451"/>
      <c r="G94" s="3"/>
      <c r="H94" s="3"/>
    </row>
    <row r="95" spans="1:8" ht="17.399999999999999">
      <c r="A95" s="514" t="s">
        <v>370</v>
      </c>
      <c r="B95" s="412">
        <v>233</v>
      </c>
      <c r="C95" s="170">
        <v>4.0000000000000001E-3</v>
      </c>
      <c r="D95" s="173">
        <f t="shared" si="3"/>
        <v>2.0203947140231002E-3</v>
      </c>
      <c r="E95" s="451"/>
      <c r="G95" s="3"/>
      <c r="H95" s="3"/>
    </row>
    <row r="96" spans="1:8" ht="17.399999999999999">
      <c r="A96" s="576" t="s">
        <v>505</v>
      </c>
      <c r="B96" s="458">
        <v>176</v>
      </c>
      <c r="C96" s="459">
        <v>3.0000000000000001E-3</v>
      </c>
      <c r="D96" s="174">
        <f t="shared" si="3"/>
        <v>1.5261350629530714E-3</v>
      </c>
      <c r="E96" s="451"/>
      <c r="G96" s="3"/>
      <c r="H96" s="3"/>
    </row>
    <row r="97" spans="1:10" ht="18" thickBot="1">
      <c r="A97" s="578" t="s">
        <v>506</v>
      </c>
      <c r="B97" s="460">
        <v>111</v>
      </c>
      <c r="C97" s="461">
        <v>2E-3</v>
      </c>
      <c r="D97" s="176">
        <f t="shared" si="3"/>
        <v>9.6250563629426663E-4</v>
      </c>
      <c r="E97" s="451"/>
      <c r="G97" s="52"/>
      <c r="H97" s="3"/>
    </row>
    <row r="98" spans="1:10">
      <c r="A98" s="573" t="s">
        <v>56</v>
      </c>
      <c r="B98" s="462">
        <f>SUM(B18:B97)</f>
        <v>115324</v>
      </c>
      <c r="C98" s="168"/>
      <c r="D98" s="174">
        <f t="shared" si="3"/>
        <v>1</v>
      </c>
      <c r="E98" s="52"/>
      <c r="F98" s="52"/>
      <c r="G98" s="3"/>
      <c r="H98" s="3"/>
    </row>
    <row r="99" spans="1:10">
      <c r="A99" s="573" t="s">
        <v>1</v>
      </c>
      <c r="B99" s="161">
        <v>1023</v>
      </c>
      <c r="C99" s="168">
        <v>0.23</v>
      </c>
      <c r="D99" s="220"/>
      <c r="E99" s="52"/>
      <c r="F99" s="453"/>
      <c r="G99" s="52"/>
      <c r="H99" s="3"/>
    </row>
    <row r="100" spans="1:10">
      <c r="A100" s="574" t="s">
        <v>78</v>
      </c>
      <c r="B100" s="463">
        <v>9372</v>
      </c>
      <c r="C100" s="171">
        <v>2.18E-2</v>
      </c>
      <c r="D100" s="179"/>
      <c r="E100" s="2"/>
      <c r="F100" s="454"/>
      <c r="G100" s="3"/>
      <c r="H100" s="3"/>
    </row>
    <row r="101" spans="1:10">
      <c r="B101" s="458"/>
      <c r="E101" s="52"/>
    </row>
    <row r="103" spans="1:10" ht="32.4">
      <c r="A103" s="525" t="s">
        <v>6</v>
      </c>
      <c r="B103" s="80" t="s">
        <v>4</v>
      </c>
      <c r="C103" s="102" t="s">
        <v>149</v>
      </c>
      <c r="D103" s="103" t="s">
        <v>148</v>
      </c>
      <c r="F103" s="56"/>
    </row>
    <row r="104" spans="1:10" ht="17.399999999999999">
      <c r="A104" s="555" t="s">
        <v>423</v>
      </c>
      <c r="B104" s="148">
        <v>8801</v>
      </c>
      <c r="C104" s="166">
        <v>0.20499999999999999</v>
      </c>
      <c r="D104" s="172">
        <f>B104/34911</f>
        <v>0.25209819254676175</v>
      </c>
      <c r="E104" s="451"/>
      <c r="F104" s="57" t="s">
        <v>79</v>
      </c>
      <c r="G104" s="50"/>
    </row>
    <row r="105" spans="1:10" ht="17.399999999999999">
      <c r="A105" s="514" t="s">
        <v>200</v>
      </c>
      <c r="B105" s="407">
        <v>6673</v>
      </c>
      <c r="C105" s="167">
        <v>0.155</v>
      </c>
      <c r="D105" s="173">
        <f t="shared" ref="D105:D118" si="4">B105/34911</f>
        <v>0.19114319268998309</v>
      </c>
      <c r="E105" s="451"/>
      <c r="F105" s="50"/>
      <c r="G105" s="50"/>
    </row>
    <row r="106" spans="1:10" ht="17.399999999999999">
      <c r="A106" s="555" t="s">
        <v>424</v>
      </c>
      <c r="B106" s="158">
        <v>4229</v>
      </c>
      <c r="C106" s="168">
        <v>9.8000000000000004E-2</v>
      </c>
      <c r="D106" s="174">
        <f t="shared" si="4"/>
        <v>0.1211366045086076</v>
      </c>
      <c r="E106" s="451"/>
      <c r="F106" s="50"/>
      <c r="G106" s="50"/>
    </row>
    <row r="107" spans="1:10" ht="17.399999999999999">
      <c r="A107" s="514" t="s">
        <v>425</v>
      </c>
      <c r="B107" s="407">
        <v>3681</v>
      </c>
      <c r="C107" s="167">
        <v>8.5000000000000006E-2</v>
      </c>
      <c r="D107" s="173">
        <f t="shared" si="4"/>
        <v>0.1054395462748131</v>
      </c>
      <c r="E107" s="451"/>
      <c r="F107" s="50"/>
      <c r="G107" s="50"/>
      <c r="H107" s="50"/>
    </row>
    <row r="108" spans="1:10" ht="17.399999999999999">
      <c r="A108" s="555" t="s">
        <v>426</v>
      </c>
      <c r="B108" s="158">
        <v>1970</v>
      </c>
      <c r="C108" s="168">
        <v>4.4999999999999998E-2</v>
      </c>
      <c r="D108" s="174">
        <f t="shared" si="4"/>
        <v>5.6429205694480247E-2</v>
      </c>
      <c r="E108" s="451"/>
      <c r="F108" s="50"/>
      <c r="G108" s="50"/>
      <c r="H108" s="50"/>
    </row>
    <row r="109" spans="1:10" ht="17.399999999999999">
      <c r="A109" s="514" t="s">
        <v>427</v>
      </c>
      <c r="B109" s="407">
        <v>1714</v>
      </c>
      <c r="C109" s="167">
        <v>0.04</v>
      </c>
      <c r="D109" s="173">
        <f t="shared" si="4"/>
        <v>4.9096273380882814E-2</v>
      </c>
      <c r="E109" s="451"/>
      <c r="F109" s="50"/>
      <c r="H109" s="50"/>
    </row>
    <row r="110" spans="1:10" ht="17.399999999999999">
      <c r="A110" s="555" t="s">
        <v>322</v>
      </c>
      <c r="B110" s="158">
        <v>1704</v>
      </c>
      <c r="C110" s="168">
        <v>3.9E-2</v>
      </c>
      <c r="D110" s="174">
        <f t="shared" si="4"/>
        <v>4.8809830712382915E-2</v>
      </c>
      <c r="E110" s="451"/>
      <c r="F110" s="50"/>
      <c r="G110" s="50"/>
      <c r="H110" s="50"/>
    </row>
    <row r="111" spans="1:10" ht="17.399999999999999">
      <c r="A111" s="514" t="s">
        <v>428</v>
      </c>
      <c r="B111" s="407">
        <v>1702</v>
      </c>
      <c r="C111" s="167">
        <v>3.9E-2</v>
      </c>
      <c r="D111" s="173">
        <f t="shared" si="4"/>
        <v>4.8752542178682939E-2</v>
      </c>
      <c r="E111" s="451"/>
      <c r="F111" s="50"/>
      <c r="H111" s="50"/>
      <c r="I111" s="50"/>
      <c r="J111" s="50"/>
    </row>
    <row r="112" spans="1:10" ht="17.399999999999999">
      <c r="A112" s="555" t="s">
        <v>429</v>
      </c>
      <c r="B112" s="158">
        <v>1222</v>
      </c>
      <c r="C112" s="168">
        <v>2.8000000000000001E-2</v>
      </c>
      <c r="D112" s="174">
        <f t="shared" si="4"/>
        <v>3.5003294090687746E-2</v>
      </c>
      <c r="E112" s="451"/>
      <c r="H112" s="50"/>
      <c r="I112" s="50"/>
      <c r="J112" s="50"/>
    </row>
    <row r="113" spans="1:10" ht="17.399999999999999">
      <c r="A113" s="514" t="s">
        <v>430</v>
      </c>
      <c r="B113" s="407">
        <v>1052</v>
      </c>
      <c r="C113" s="167">
        <v>2.4E-2</v>
      </c>
      <c r="D113" s="173">
        <f t="shared" si="4"/>
        <v>3.0133768726189454E-2</v>
      </c>
      <c r="E113" s="451"/>
      <c r="H113" s="50"/>
      <c r="I113" s="50"/>
      <c r="J113" s="50"/>
    </row>
    <row r="114" spans="1:10" ht="17.399999999999999">
      <c r="A114" s="555" t="s">
        <v>431</v>
      </c>
      <c r="B114" s="158">
        <v>632</v>
      </c>
      <c r="C114" s="168">
        <v>1.4E-2</v>
      </c>
      <c r="D114" s="174">
        <f t="shared" si="4"/>
        <v>1.8103176649193663E-2</v>
      </c>
      <c r="E114" s="451"/>
      <c r="I114" s="50"/>
      <c r="J114" s="50"/>
    </row>
    <row r="115" spans="1:10" ht="17.399999999999999">
      <c r="A115" s="514" t="s">
        <v>432</v>
      </c>
      <c r="B115" s="407">
        <v>573</v>
      </c>
      <c r="C115" s="167">
        <v>1.2999999999999999E-2</v>
      </c>
      <c r="D115" s="173">
        <f t="shared" si="4"/>
        <v>1.6413164905044256E-2</v>
      </c>
      <c r="E115" s="451"/>
      <c r="I115" s="50"/>
      <c r="J115" s="50"/>
    </row>
    <row r="116" spans="1:10" ht="17.399999999999999">
      <c r="A116" s="555" t="s">
        <v>433</v>
      </c>
      <c r="B116" s="158">
        <v>499</v>
      </c>
      <c r="C116" s="168">
        <v>1.0999999999999999E-2</v>
      </c>
      <c r="D116" s="174">
        <f t="shared" si="4"/>
        <v>1.4293489158144997E-2</v>
      </c>
      <c r="E116" s="451"/>
      <c r="I116" s="50"/>
      <c r="J116" s="50"/>
    </row>
    <row r="117" spans="1:10" ht="18" thickBot="1">
      <c r="A117" s="508" t="s">
        <v>434</v>
      </c>
      <c r="B117" s="409">
        <v>459</v>
      </c>
      <c r="C117" s="175">
        <v>0.01</v>
      </c>
      <c r="D117" s="176">
        <f t="shared" si="4"/>
        <v>1.3147718484145398E-2</v>
      </c>
      <c r="E117" s="451"/>
      <c r="H117" s="55"/>
    </row>
    <row r="118" spans="1:10">
      <c r="A118" s="573" t="s">
        <v>56</v>
      </c>
      <c r="B118" s="159">
        <f>SUM(B104:B117)</f>
        <v>34911</v>
      </c>
      <c r="C118" s="168"/>
      <c r="D118" s="174">
        <f t="shared" si="4"/>
        <v>1</v>
      </c>
      <c r="E118" s="50"/>
    </row>
    <row r="119" spans="1:10">
      <c r="A119" s="573" t="s">
        <v>1</v>
      </c>
      <c r="B119" s="159">
        <v>7442</v>
      </c>
      <c r="C119" s="168">
        <v>0.17299999999999999</v>
      </c>
      <c r="D119" s="220"/>
      <c r="F119" s="455"/>
    </row>
    <row r="120" spans="1:10">
      <c r="A120" s="574" t="s">
        <v>78</v>
      </c>
      <c r="B120" s="160">
        <v>495</v>
      </c>
      <c r="C120" s="171">
        <v>1.0999999999999999E-2</v>
      </c>
      <c r="D120" s="179"/>
    </row>
    <row r="121" spans="1:10">
      <c r="A121" s="579"/>
    </row>
    <row r="123" spans="1:10" ht="32.4">
      <c r="A123" s="528" t="s">
        <v>2</v>
      </c>
      <c r="B123" s="80" t="s">
        <v>4</v>
      </c>
      <c r="C123" s="102" t="s">
        <v>149</v>
      </c>
      <c r="D123" s="103" t="s">
        <v>148</v>
      </c>
      <c r="F123" s="56"/>
    </row>
    <row r="124" spans="1:10" ht="17.399999999999999">
      <c r="A124" s="555" t="s">
        <v>419</v>
      </c>
      <c r="B124" s="148">
        <v>12545</v>
      </c>
      <c r="C124" s="166">
        <v>0.29199999999999998</v>
      </c>
      <c r="D124" s="172">
        <f>B124/34788</f>
        <v>0.36061285500747386</v>
      </c>
      <c r="E124" s="451"/>
      <c r="F124" s="57" t="s">
        <v>79</v>
      </c>
    </row>
    <row r="125" spans="1:10" ht="17.399999999999999">
      <c r="A125" s="514" t="s">
        <v>420</v>
      </c>
      <c r="B125" s="407">
        <v>7500</v>
      </c>
      <c r="C125" s="167">
        <v>0.17499999999999999</v>
      </c>
      <c r="D125" s="173">
        <f t="shared" ref="D125:D129" si="5">B125/34788</f>
        <v>0.2155915833045878</v>
      </c>
      <c r="E125" s="451"/>
    </row>
    <row r="126" spans="1:10" ht="17.399999999999999">
      <c r="A126" s="555" t="s">
        <v>376</v>
      </c>
      <c r="B126" s="158">
        <v>7425</v>
      </c>
      <c r="C126" s="168">
        <v>0.17299999999999999</v>
      </c>
      <c r="D126" s="174">
        <f t="shared" si="5"/>
        <v>0.21343566747154191</v>
      </c>
      <c r="E126" s="451"/>
    </row>
    <row r="127" spans="1:10" ht="17.399999999999999">
      <c r="A127" s="514" t="s">
        <v>421</v>
      </c>
      <c r="B127" s="407">
        <v>4060</v>
      </c>
      <c r="C127" s="167">
        <v>9.4E-2</v>
      </c>
      <c r="D127" s="173">
        <f t="shared" si="5"/>
        <v>0.11670691042888352</v>
      </c>
      <c r="E127" s="451"/>
    </row>
    <row r="128" spans="1:10" ht="18" thickBot="1">
      <c r="A128" s="559" t="s">
        <v>422</v>
      </c>
      <c r="B128" s="408">
        <v>3258</v>
      </c>
      <c r="C128" s="177">
        <v>7.5999999999999998E-2</v>
      </c>
      <c r="D128" s="178">
        <f t="shared" si="5"/>
        <v>9.3652983787512939E-2</v>
      </c>
      <c r="E128" s="451"/>
    </row>
    <row r="129" spans="1:7">
      <c r="A129" s="573" t="s">
        <v>56</v>
      </c>
      <c r="B129" s="159">
        <f>SUM(B124:B128)</f>
        <v>34788</v>
      </c>
      <c r="C129" s="168"/>
      <c r="D129" s="174">
        <f t="shared" si="5"/>
        <v>1</v>
      </c>
    </row>
    <row r="130" spans="1:7">
      <c r="A130" s="573" t="s">
        <v>1</v>
      </c>
      <c r="B130" s="159">
        <v>7987</v>
      </c>
      <c r="C130" s="168">
        <v>0.186</v>
      </c>
      <c r="D130" s="220"/>
    </row>
    <row r="131" spans="1:7">
      <c r="A131" s="574" t="s">
        <v>78</v>
      </c>
      <c r="B131" s="160">
        <v>73</v>
      </c>
      <c r="C131" s="171">
        <v>1E-3</v>
      </c>
      <c r="D131" s="179"/>
    </row>
    <row r="134" spans="1:7" ht="32.4">
      <c r="A134" s="528" t="s">
        <v>3</v>
      </c>
      <c r="B134" s="80" t="s">
        <v>4</v>
      </c>
      <c r="C134" s="102" t="s">
        <v>149</v>
      </c>
      <c r="D134" s="103" t="s">
        <v>148</v>
      </c>
      <c r="F134" s="56"/>
    </row>
    <row r="135" spans="1:7" ht="17.399999999999999">
      <c r="A135" s="555" t="s">
        <v>360</v>
      </c>
      <c r="B135" s="148">
        <v>7918</v>
      </c>
      <c r="C135" s="166">
        <v>0.184</v>
      </c>
      <c r="D135" s="172">
        <f>B135/35536</f>
        <v>0.22281629896443045</v>
      </c>
      <c r="E135" s="451"/>
    </row>
    <row r="136" spans="1:7" ht="17.399999999999999">
      <c r="A136" s="514" t="s">
        <v>409</v>
      </c>
      <c r="B136" s="407">
        <v>6193</v>
      </c>
      <c r="C136" s="167">
        <v>0.14399999999999999</v>
      </c>
      <c r="D136" s="173">
        <f t="shared" ref="D136:D146" si="6">B136/35536</f>
        <v>0.17427397568662764</v>
      </c>
      <c r="E136" s="451"/>
    </row>
    <row r="137" spans="1:7" ht="17.399999999999999">
      <c r="A137" s="555" t="s">
        <v>410</v>
      </c>
      <c r="B137" s="158">
        <v>5155</v>
      </c>
      <c r="C137" s="168">
        <v>0.12</v>
      </c>
      <c r="D137" s="174">
        <f t="shared" si="6"/>
        <v>0.14506416028815849</v>
      </c>
      <c r="E137" s="451"/>
    </row>
    <row r="138" spans="1:7" ht="17.399999999999999">
      <c r="A138" s="514" t="s">
        <v>411</v>
      </c>
      <c r="B138" s="407">
        <v>4507</v>
      </c>
      <c r="C138" s="167">
        <v>0.105</v>
      </c>
      <c r="D138" s="173">
        <f t="shared" si="6"/>
        <v>0.12682913102206214</v>
      </c>
      <c r="E138" s="451"/>
    </row>
    <row r="139" spans="1:7" ht="17.399999999999999">
      <c r="A139" s="555" t="s">
        <v>412</v>
      </c>
      <c r="B139" s="158">
        <v>2761</v>
      </c>
      <c r="C139" s="168">
        <v>6.4000000000000001E-2</v>
      </c>
      <c r="D139" s="174">
        <f t="shared" si="6"/>
        <v>7.7695857721746961E-2</v>
      </c>
      <c r="E139" s="451"/>
    </row>
    <row r="140" spans="1:7" ht="17.399999999999999">
      <c r="A140" s="514" t="s">
        <v>413</v>
      </c>
      <c r="B140" s="407">
        <v>2721</v>
      </c>
      <c r="C140" s="167">
        <v>6.3E-2</v>
      </c>
      <c r="D140" s="173">
        <f t="shared" si="6"/>
        <v>7.6570238631247192E-2</v>
      </c>
      <c r="E140" s="451"/>
    </row>
    <row r="141" spans="1:7" ht="17.399999999999999">
      <c r="A141" s="555" t="s">
        <v>414</v>
      </c>
      <c r="B141" s="158">
        <v>1732</v>
      </c>
      <c r="C141" s="168">
        <v>0.04</v>
      </c>
      <c r="D141" s="174">
        <f t="shared" si="6"/>
        <v>4.8739306618640253E-2</v>
      </c>
      <c r="E141" s="451"/>
    </row>
    <row r="142" spans="1:7" ht="17.399999999999999">
      <c r="A142" s="514" t="s">
        <v>415</v>
      </c>
      <c r="B142" s="407">
        <v>1589</v>
      </c>
      <c r="C142" s="167">
        <v>3.6999999999999998E-2</v>
      </c>
      <c r="D142" s="173">
        <f t="shared" si="6"/>
        <v>4.471521837010356E-2</v>
      </c>
      <c r="E142" s="451"/>
    </row>
    <row r="143" spans="1:7" ht="17.399999999999999">
      <c r="A143" s="555" t="s">
        <v>416</v>
      </c>
      <c r="B143" s="158">
        <v>1478</v>
      </c>
      <c r="C143" s="168">
        <v>3.4000000000000002E-2</v>
      </c>
      <c r="D143" s="174">
        <f t="shared" si="6"/>
        <v>4.1591625393966679E-2</v>
      </c>
      <c r="E143" s="451"/>
    </row>
    <row r="144" spans="1:7" ht="17.399999999999999">
      <c r="A144" s="514" t="s">
        <v>417</v>
      </c>
      <c r="B144" s="407">
        <v>918</v>
      </c>
      <c r="C144" s="167">
        <v>2.1000000000000001E-2</v>
      </c>
      <c r="D144" s="173">
        <f t="shared" si="6"/>
        <v>2.5832958126969834E-2</v>
      </c>
      <c r="E144" s="451"/>
      <c r="G144" s="50"/>
    </row>
    <row r="145" spans="1:9" ht="18" thickBot="1">
      <c r="A145" s="559" t="s">
        <v>418</v>
      </c>
      <c r="B145" s="408">
        <v>564</v>
      </c>
      <c r="C145" s="177">
        <v>1.2999999999999999E-2</v>
      </c>
      <c r="D145" s="178">
        <f t="shared" si="6"/>
        <v>1.5871229176046827E-2</v>
      </c>
      <c r="E145" s="451"/>
      <c r="H145" s="50"/>
    </row>
    <row r="146" spans="1:9">
      <c r="A146" s="573" t="s">
        <v>56</v>
      </c>
      <c r="B146" s="159">
        <f>SUM(B135:B145)</f>
        <v>35536</v>
      </c>
      <c r="C146" s="168"/>
      <c r="D146" s="174">
        <f t="shared" si="6"/>
        <v>1</v>
      </c>
      <c r="H146" s="50"/>
    </row>
    <row r="147" spans="1:9">
      <c r="A147" s="573" t="s">
        <v>1</v>
      </c>
      <c r="B147" s="159">
        <v>7103</v>
      </c>
      <c r="C147" s="168">
        <v>0.16500000000000001</v>
      </c>
      <c r="D147" s="220"/>
      <c r="F147" s="55"/>
    </row>
    <row r="148" spans="1:9">
      <c r="A148" s="574" t="s">
        <v>78</v>
      </c>
      <c r="B148" s="160">
        <v>209</v>
      </c>
      <c r="C148" s="171">
        <v>4.0000000000000001E-3</v>
      </c>
      <c r="D148" s="179"/>
    </row>
    <row r="149" spans="1:9">
      <c r="A149" s="579"/>
      <c r="I149" s="50"/>
    </row>
    <row r="150" spans="1:9">
      <c r="H150" s="50"/>
      <c r="I150" s="50"/>
    </row>
    <row r="151" spans="1:9" ht="32.4">
      <c r="A151" s="528" t="s">
        <v>5</v>
      </c>
      <c r="B151" s="80" t="s">
        <v>4</v>
      </c>
      <c r="C151" s="102" t="s">
        <v>149</v>
      </c>
      <c r="D151" s="103" t="s">
        <v>148</v>
      </c>
      <c r="F151" s="56"/>
      <c r="I151" s="50"/>
    </row>
    <row r="152" spans="1:9" ht="17.399999999999999">
      <c r="A152" s="555" t="s">
        <v>407</v>
      </c>
      <c r="B152" s="411">
        <v>13502</v>
      </c>
      <c r="C152" s="180">
        <v>0.315</v>
      </c>
      <c r="D152" s="181">
        <f>B152/34470</f>
        <v>0.39170293008413115</v>
      </c>
      <c r="E152" s="451"/>
      <c r="F152" s="57" t="s">
        <v>79</v>
      </c>
      <c r="I152" s="50"/>
    </row>
    <row r="153" spans="1:9" ht="17.399999999999999">
      <c r="A153" s="514" t="s">
        <v>227</v>
      </c>
      <c r="B153" s="412">
        <v>11010</v>
      </c>
      <c r="C153" s="170">
        <v>0.25600000000000001</v>
      </c>
      <c r="D153" s="182">
        <f t="shared" ref="D153:D156" si="7">B153/34470</f>
        <v>0.31940818102697999</v>
      </c>
      <c r="E153" s="451"/>
      <c r="G153" s="50"/>
      <c r="H153" s="50"/>
      <c r="I153" s="50"/>
    </row>
    <row r="154" spans="1:9" ht="17.399999999999999">
      <c r="A154" s="555" t="s">
        <v>380</v>
      </c>
      <c r="B154" s="413">
        <v>5294</v>
      </c>
      <c r="C154" s="169">
        <v>0.123</v>
      </c>
      <c r="D154" s="183">
        <f t="shared" si="7"/>
        <v>0.15358282564548884</v>
      </c>
      <c r="E154" s="451"/>
      <c r="I154" s="50"/>
    </row>
    <row r="155" spans="1:9" ht="18" thickBot="1">
      <c r="A155" s="508" t="s">
        <v>408</v>
      </c>
      <c r="B155" s="414">
        <v>4664</v>
      </c>
      <c r="C155" s="185">
        <v>0.108</v>
      </c>
      <c r="D155" s="184">
        <f t="shared" si="7"/>
        <v>0.13530606324340005</v>
      </c>
      <c r="E155" s="451"/>
      <c r="I155" s="50"/>
    </row>
    <row r="156" spans="1:9">
      <c r="A156" s="573" t="s">
        <v>56</v>
      </c>
      <c r="B156" s="159">
        <f>SUM(B152:B155)</f>
        <v>34470</v>
      </c>
      <c r="C156" s="168"/>
      <c r="D156" s="183">
        <f t="shared" si="7"/>
        <v>1</v>
      </c>
      <c r="I156" s="50"/>
    </row>
    <row r="157" spans="1:9">
      <c r="A157" s="573" t="s">
        <v>1</v>
      </c>
      <c r="B157" s="159">
        <v>8345</v>
      </c>
      <c r="C157" s="168">
        <v>0.19400000000000001</v>
      </c>
      <c r="D157" s="220"/>
      <c r="I157" s="50"/>
    </row>
    <row r="158" spans="1:9">
      <c r="A158" s="574" t="s">
        <v>78</v>
      </c>
      <c r="B158" s="160">
        <v>33</v>
      </c>
      <c r="C158" s="171">
        <v>0</v>
      </c>
      <c r="D158" s="179"/>
      <c r="I158" s="50"/>
    </row>
    <row r="159" spans="1:9">
      <c r="I159" s="50"/>
    </row>
    <row r="160" spans="1:9">
      <c r="I160" s="50"/>
    </row>
    <row r="161" spans="1:9" ht="32.4">
      <c r="A161" s="528" t="s">
        <v>8</v>
      </c>
      <c r="B161" s="80" t="s">
        <v>4</v>
      </c>
      <c r="C161" s="102" t="s">
        <v>149</v>
      </c>
      <c r="D161" s="103" t="s">
        <v>148</v>
      </c>
      <c r="F161" s="56"/>
      <c r="I161" s="50"/>
    </row>
    <row r="162" spans="1:9" ht="17.399999999999999">
      <c r="A162" s="555" t="s">
        <v>387</v>
      </c>
      <c r="B162" s="411">
        <v>5311</v>
      </c>
      <c r="C162" s="180">
        <v>0.124</v>
      </c>
      <c r="D162" s="181">
        <f>B162/36080</f>
        <v>0.14720066518847005</v>
      </c>
      <c r="E162" s="451"/>
      <c r="I162" s="50"/>
    </row>
    <row r="163" spans="1:9" ht="17.399999999999999">
      <c r="A163" s="514" t="s">
        <v>388</v>
      </c>
      <c r="B163" s="412">
        <v>4811</v>
      </c>
      <c r="C163" s="170">
        <v>0.112</v>
      </c>
      <c r="D163" s="182">
        <f t="shared" ref="D163:D184" si="8">B163/36080</f>
        <v>0.13334257206208425</v>
      </c>
      <c r="E163" s="451"/>
      <c r="G163" s="50"/>
      <c r="I163" s="50"/>
    </row>
    <row r="164" spans="1:9" ht="17.399999999999999">
      <c r="A164" s="555" t="s">
        <v>374</v>
      </c>
      <c r="B164" s="413">
        <v>3685</v>
      </c>
      <c r="C164" s="169">
        <v>8.5999999999999993E-2</v>
      </c>
      <c r="D164" s="183">
        <f t="shared" si="8"/>
        <v>0.10213414634146341</v>
      </c>
      <c r="E164" s="451"/>
      <c r="F164" s="50"/>
      <c r="I164" s="50"/>
    </row>
    <row r="165" spans="1:9" ht="17.399999999999999">
      <c r="A165" s="514" t="s">
        <v>389</v>
      </c>
      <c r="B165" s="412">
        <v>3008</v>
      </c>
      <c r="C165" s="170">
        <v>7.0000000000000007E-2</v>
      </c>
      <c r="D165" s="182">
        <f t="shared" si="8"/>
        <v>8.3370288248337032E-2</v>
      </c>
      <c r="E165" s="451"/>
      <c r="H165" s="50"/>
      <c r="I165" s="50"/>
    </row>
    <row r="166" spans="1:9" ht="17.399999999999999">
      <c r="A166" s="555" t="s">
        <v>390</v>
      </c>
      <c r="B166" s="413">
        <v>2960</v>
      </c>
      <c r="C166" s="169">
        <v>6.9000000000000006E-2</v>
      </c>
      <c r="D166" s="183">
        <f t="shared" si="8"/>
        <v>8.2039911308203997E-2</v>
      </c>
      <c r="E166" s="451"/>
      <c r="H166" s="50"/>
      <c r="I166" s="50"/>
    </row>
    <row r="167" spans="1:9" ht="17.399999999999999">
      <c r="A167" s="514" t="s">
        <v>347</v>
      </c>
      <c r="B167" s="412">
        <v>2610</v>
      </c>
      <c r="C167" s="170">
        <v>0.06</v>
      </c>
      <c r="D167" s="182">
        <f t="shared" si="8"/>
        <v>7.2339246119733927E-2</v>
      </c>
      <c r="E167" s="451"/>
      <c r="I167" s="50"/>
    </row>
    <row r="168" spans="1:9" ht="17.399999999999999">
      <c r="A168" s="555" t="s">
        <v>391</v>
      </c>
      <c r="B168" s="413">
        <v>1879</v>
      </c>
      <c r="C168" s="169">
        <v>4.2999999999999997E-2</v>
      </c>
      <c r="D168" s="183">
        <f t="shared" si="8"/>
        <v>5.2078713968957871E-2</v>
      </c>
      <c r="E168" s="451"/>
      <c r="I168" s="50"/>
    </row>
    <row r="169" spans="1:9" ht="17.399999999999999">
      <c r="A169" s="514" t="s">
        <v>392</v>
      </c>
      <c r="B169" s="412">
        <v>1320</v>
      </c>
      <c r="C169" s="170">
        <v>0.03</v>
      </c>
      <c r="D169" s="182">
        <f t="shared" si="8"/>
        <v>3.6585365853658534E-2</v>
      </c>
      <c r="E169" s="451"/>
      <c r="I169" s="50"/>
    </row>
    <row r="170" spans="1:9" ht="17.399999999999999">
      <c r="A170" s="555" t="s">
        <v>393</v>
      </c>
      <c r="B170" s="413">
        <v>1257</v>
      </c>
      <c r="C170" s="169">
        <v>2.9000000000000001E-2</v>
      </c>
      <c r="D170" s="183">
        <f t="shared" si="8"/>
        <v>3.4839246119733921E-2</v>
      </c>
      <c r="E170" s="451"/>
      <c r="I170" s="50"/>
    </row>
    <row r="171" spans="1:9" ht="17.399999999999999">
      <c r="A171" s="514" t="s">
        <v>394</v>
      </c>
      <c r="B171" s="412">
        <v>1070</v>
      </c>
      <c r="C171" s="170">
        <v>2.4E-2</v>
      </c>
      <c r="D171" s="182">
        <f t="shared" si="8"/>
        <v>2.9656319290465631E-2</v>
      </c>
      <c r="E171" s="451"/>
    </row>
    <row r="172" spans="1:9" ht="17.399999999999999">
      <c r="A172" s="555" t="s">
        <v>395</v>
      </c>
      <c r="B172" s="413">
        <v>1046</v>
      </c>
      <c r="C172" s="169">
        <v>2.4E-2</v>
      </c>
      <c r="D172" s="183">
        <f t="shared" si="8"/>
        <v>2.8991130820399114E-2</v>
      </c>
      <c r="E172" s="451"/>
    </row>
    <row r="173" spans="1:9" ht="17.399999999999999">
      <c r="A173" s="514" t="s">
        <v>396</v>
      </c>
      <c r="B173" s="412">
        <v>1019</v>
      </c>
      <c r="C173" s="170">
        <v>2.3E-2</v>
      </c>
      <c r="D173" s="182">
        <f t="shared" si="8"/>
        <v>2.824279379157428E-2</v>
      </c>
      <c r="E173" s="451"/>
    </row>
    <row r="174" spans="1:9" ht="17.399999999999999">
      <c r="A174" s="555" t="s">
        <v>397</v>
      </c>
      <c r="B174" s="413">
        <v>996</v>
      </c>
      <c r="C174" s="169">
        <v>2.3E-2</v>
      </c>
      <c r="D174" s="183">
        <f t="shared" si="8"/>
        <v>2.7605321507760534E-2</v>
      </c>
      <c r="E174" s="451"/>
    </row>
    <row r="175" spans="1:9" ht="17.399999999999999">
      <c r="A175" s="514" t="s">
        <v>398</v>
      </c>
      <c r="B175" s="412">
        <v>911</v>
      </c>
      <c r="C175" s="170">
        <v>2.1000000000000001E-2</v>
      </c>
      <c r="D175" s="182">
        <f t="shared" si="8"/>
        <v>2.5249445676274945E-2</v>
      </c>
      <c r="E175" s="451"/>
    </row>
    <row r="176" spans="1:9" ht="17.399999999999999">
      <c r="A176" s="555" t="s">
        <v>399</v>
      </c>
      <c r="B176" s="413">
        <v>716</v>
      </c>
      <c r="C176" s="169">
        <v>1.6E-2</v>
      </c>
      <c r="D176" s="183">
        <f t="shared" si="8"/>
        <v>1.9844789356984478E-2</v>
      </c>
      <c r="E176" s="451"/>
    </row>
    <row r="177" spans="1:5" ht="17.399999999999999">
      <c r="A177" s="514" t="s">
        <v>400</v>
      </c>
      <c r="B177" s="412">
        <v>655</v>
      </c>
      <c r="C177" s="170">
        <v>1.4999999999999999E-2</v>
      </c>
      <c r="D177" s="182">
        <f t="shared" si="8"/>
        <v>1.815410199556541E-2</v>
      </c>
      <c r="E177" s="451"/>
    </row>
    <row r="178" spans="1:5" ht="17.399999999999999">
      <c r="A178" s="555" t="s">
        <v>401</v>
      </c>
      <c r="B178" s="413">
        <v>645</v>
      </c>
      <c r="C178" s="169">
        <v>1.4999999999999999E-2</v>
      </c>
      <c r="D178" s="183">
        <f t="shared" si="8"/>
        <v>1.7876940133037693E-2</v>
      </c>
      <c r="E178" s="451"/>
    </row>
    <row r="179" spans="1:5" ht="17.399999999999999">
      <c r="A179" s="514" t="s">
        <v>402</v>
      </c>
      <c r="B179" s="412">
        <v>570</v>
      </c>
      <c r="C179" s="170">
        <v>1.2999999999999999E-2</v>
      </c>
      <c r="D179" s="182">
        <f t="shared" si="8"/>
        <v>1.5798226164079821E-2</v>
      </c>
      <c r="E179" s="451"/>
    </row>
    <row r="180" spans="1:5" ht="17.399999999999999">
      <c r="A180" s="555" t="s">
        <v>403</v>
      </c>
      <c r="B180" s="413">
        <v>548</v>
      </c>
      <c r="C180" s="169">
        <v>1.2E-2</v>
      </c>
      <c r="D180" s="183">
        <f t="shared" si="8"/>
        <v>1.5188470066518847E-2</v>
      </c>
      <c r="E180" s="451"/>
    </row>
    <row r="181" spans="1:5" ht="17.399999999999999">
      <c r="A181" s="514" t="s">
        <v>404</v>
      </c>
      <c r="B181" s="412">
        <v>491</v>
      </c>
      <c r="C181" s="170">
        <v>1.0999999999999999E-2</v>
      </c>
      <c r="D181" s="182">
        <f t="shared" si="8"/>
        <v>1.3608647450110865E-2</v>
      </c>
      <c r="E181" s="451"/>
    </row>
    <row r="182" spans="1:5" ht="17.399999999999999">
      <c r="A182" s="555" t="s">
        <v>405</v>
      </c>
      <c r="B182" s="413">
        <v>449</v>
      </c>
      <c r="C182" s="169">
        <v>0.01</v>
      </c>
      <c r="D182" s="183">
        <f t="shared" si="8"/>
        <v>1.2444567627494458E-2</v>
      </c>
      <c r="E182" s="451"/>
    </row>
    <row r="183" spans="1:5" ht="18" thickBot="1">
      <c r="A183" s="508" t="s">
        <v>406</v>
      </c>
      <c r="B183" s="414">
        <v>123</v>
      </c>
      <c r="C183" s="185">
        <v>2E-3</v>
      </c>
      <c r="D183" s="184">
        <f t="shared" si="8"/>
        <v>3.4090909090909089E-3</v>
      </c>
      <c r="E183" s="451"/>
    </row>
    <row r="184" spans="1:5">
      <c r="A184" s="573" t="s">
        <v>56</v>
      </c>
      <c r="B184" s="161">
        <f>SUM(B162:B183)</f>
        <v>36080</v>
      </c>
      <c r="C184" s="169"/>
      <c r="D184" s="183">
        <f t="shared" si="8"/>
        <v>1</v>
      </c>
    </row>
    <row r="185" spans="1:5">
      <c r="A185" s="573" t="s">
        <v>1</v>
      </c>
      <c r="B185" s="161">
        <v>6299</v>
      </c>
      <c r="C185" s="169">
        <v>0.14699999999999999</v>
      </c>
      <c r="D185" s="186"/>
    </row>
    <row r="186" spans="1:5">
      <c r="A186" s="574" t="s">
        <v>78</v>
      </c>
      <c r="B186" s="162">
        <v>463</v>
      </c>
      <c r="C186" s="187">
        <v>0.01</v>
      </c>
      <c r="D186" s="188"/>
    </row>
    <row r="189" spans="1:5" ht="27.75" customHeight="1">
      <c r="A189" s="739" t="s">
        <v>118</v>
      </c>
      <c r="B189" s="739"/>
      <c r="C189" s="739"/>
      <c r="D189" s="739"/>
    </row>
  </sheetData>
  <mergeCells count="5">
    <mergeCell ref="A5:D5"/>
    <mergeCell ref="A2:D2"/>
    <mergeCell ref="A9:D9"/>
    <mergeCell ref="A189:D189"/>
    <mergeCell ref="A14:D14"/>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70"/>
  <sheetViews>
    <sheetView topLeftCell="A56" workbookViewId="0">
      <selection activeCell="G37" sqref="G37"/>
    </sheetView>
  </sheetViews>
  <sheetFormatPr defaultColWidth="9" defaultRowHeight="13.8"/>
  <cols>
    <col min="1" max="1" width="35.19921875" style="1" customWidth="1"/>
    <col min="2" max="3" width="11.09765625" style="582" customWidth="1"/>
    <col min="4" max="4" width="11.09765625" style="3" customWidth="1"/>
    <col min="5" max="6" width="9" style="3"/>
    <col min="7" max="7" width="9.19921875" style="3" customWidth="1"/>
    <col min="8" max="16384" width="9" style="3"/>
  </cols>
  <sheetData>
    <row r="2" spans="1:6" ht="33" customHeight="1">
      <c r="A2" s="681" t="s">
        <v>785</v>
      </c>
      <c r="B2" s="682"/>
      <c r="C2" s="682"/>
      <c r="D2" s="683"/>
    </row>
    <row r="3" spans="1:6">
      <c r="A3" s="581" t="s">
        <v>786</v>
      </c>
    </row>
    <row r="4" spans="1:6">
      <c r="A4" s="581"/>
    </row>
    <row r="5" spans="1:6" ht="33" customHeight="1">
      <c r="A5" s="583" t="s">
        <v>6</v>
      </c>
      <c r="B5" s="584" t="s">
        <v>4</v>
      </c>
      <c r="C5" s="585" t="s">
        <v>149</v>
      </c>
      <c r="D5" s="586" t="s">
        <v>148</v>
      </c>
    </row>
    <row r="6" spans="1:6" ht="17.399999999999999">
      <c r="A6" s="622" t="s">
        <v>804</v>
      </c>
      <c r="B6" s="590"/>
      <c r="C6" s="587"/>
      <c r="D6" s="588"/>
      <c r="E6" s="450"/>
      <c r="F6" s="9" t="s">
        <v>805</v>
      </c>
    </row>
    <row r="7" spans="1:6" ht="18" thickBot="1">
      <c r="A7" s="630" t="s">
        <v>708</v>
      </c>
      <c r="B7" s="621"/>
      <c r="C7" s="620"/>
      <c r="D7" s="589"/>
      <c r="E7" s="450"/>
    </row>
    <row r="8" spans="1:6">
      <c r="A8" s="591" t="s">
        <v>56</v>
      </c>
      <c r="B8" s="619"/>
      <c r="C8" s="592"/>
      <c r="D8" s="593"/>
    </row>
    <row r="9" spans="1:6">
      <c r="A9" s="591" t="s">
        <v>1</v>
      </c>
      <c r="B9" s="594"/>
      <c r="C9" s="595"/>
      <c r="D9" s="596"/>
    </row>
    <row r="10" spans="1:6">
      <c r="A10" s="597" t="s">
        <v>78</v>
      </c>
      <c r="B10" s="598"/>
      <c r="C10" s="599"/>
      <c r="D10" s="600"/>
    </row>
    <row r="11" spans="1:6" ht="62.25" customHeight="1">
      <c r="A11" s="688" t="s">
        <v>790</v>
      </c>
      <c r="B11" s="689"/>
      <c r="C11" s="689"/>
      <c r="D11" s="690"/>
    </row>
    <row r="12" spans="1:6">
      <c r="A12" s="581"/>
    </row>
    <row r="14" spans="1:6" ht="33" customHeight="1">
      <c r="A14" s="601" t="s">
        <v>8</v>
      </c>
      <c r="B14" s="602" t="s">
        <v>4</v>
      </c>
      <c r="C14" s="603" t="s">
        <v>149</v>
      </c>
      <c r="D14" s="604" t="s">
        <v>148</v>
      </c>
      <c r="F14" s="56"/>
    </row>
    <row r="15" spans="1:6" ht="17.399999999999999">
      <c r="A15" s="622" t="s">
        <v>806</v>
      </c>
      <c r="B15" s="632">
        <v>96665</v>
      </c>
      <c r="C15" s="360">
        <v>0.33800000000000002</v>
      </c>
      <c r="D15" s="361">
        <f>B15/168573</f>
        <v>0.57343109513385893</v>
      </c>
      <c r="E15" s="450"/>
      <c r="F15" s="3" t="s">
        <v>146</v>
      </c>
    </row>
    <row r="16" spans="1:6" ht="17.399999999999999">
      <c r="A16" s="625" t="s">
        <v>660</v>
      </c>
      <c r="B16" s="633">
        <v>30958</v>
      </c>
      <c r="C16" s="362">
        <v>0.108</v>
      </c>
      <c r="D16" s="363">
        <f>B16/168573</f>
        <v>0.1836474405747065</v>
      </c>
      <c r="E16" s="450"/>
    </row>
    <row r="17" spans="1:6" ht="17.399999999999999">
      <c r="A17" s="628" t="s">
        <v>755</v>
      </c>
      <c r="B17" s="632">
        <v>25356</v>
      </c>
      <c r="C17" s="360">
        <v>8.8999999999999996E-2</v>
      </c>
      <c r="D17" s="361">
        <f>B17/168573</f>
        <v>0.15041554697371465</v>
      </c>
      <c r="E17" s="450"/>
    </row>
    <row r="18" spans="1:6" ht="18" thickBot="1">
      <c r="A18" s="629" t="s">
        <v>803</v>
      </c>
      <c r="B18" s="634">
        <v>15594</v>
      </c>
      <c r="C18" s="631">
        <v>5.3999999999999999E-2</v>
      </c>
      <c r="D18" s="636">
        <f>B18/168573</f>
        <v>9.2505917317719913E-2</v>
      </c>
      <c r="E18" s="450"/>
    </row>
    <row r="19" spans="1:6">
      <c r="A19" s="605" t="s">
        <v>56</v>
      </c>
      <c r="B19" s="112">
        <f>SUM(B15:B18)</f>
        <v>168573</v>
      </c>
      <c r="C19" s="366"/>
      <c r="D19" s="330">
        <f>B19/168573</f>
        <v>1</v>
      </c>
    </row>
    <row r="20" spans="1:6">
      <c r="A20" s="591" t="s">
        <v>1</v>
      </c>
      <c r="B20" s="111">
        <v>117271</v>
      </c>
      <c r="C20" s="366">
        <v>0.41</v>
      </c>
      <c r="D20" s="606"/>
    </row>
    <row r="21" spans="1:6">
      <c r="A21" s="607" t="s">
        <v>78</v>
      </c>
      <c r="B21" s="113">
        <v>318</v>
      </c>
      <c r="C21" s="367">
        <v>1E-3</v>
      </c>
      <c r="D21" s="608"/>
    </row>
    <row r="23" spans="1:6">
      <c r="A23" s="609"/>
      <c r="B23" s="5"/>
      <c r="C23" s="5"/>
      <c r="D23" s="9"/>
    </row>
    <row r="24" spans="1:6" ht="32.4">
      <c r="A24" s="610" t="s">
        <v>3</v>
      </c>
      <c r="B24" s="602" t="s">
        <v>4</v>
      </c>
      <c r="C24" s="603" t="s">
        <v>149</v>
      </c>
      <c r="D24" s="604" t="s">
        <v>148</v>
      </c>
      <c r="F24" s="56"/>
    </row>
    <row r="25" spans="1:6" ht="17.399999999999999">
      <c r="A25" s="622" t="s">
        <v>720</v>
      </c>
      <c r="B25" s="611"/>
      <c r="C25" s="611"/>
      <c r="D25" s="612"/>
      <c r="E25" s="450"/>
      <c r="F25" s="9" t="s">
        <v>139</v>
      </c>
    </row>
    <row r="26" spans="1:6">
      <c r="A26" s="613"/>
    </row>
    <row r="27" spans="1:6" customFormat="1">
      <c r="A27" s="609"/>
      <c r="B27" s="5"/>
      <c r="C27" s="5"/>
      <c r="D27" s="9"/>
    </row>
    <row r="28" spans="1:6" ht="32.4">
      <c r="A28" s="610" t="s">
        <v>9</v>
      </c>
      <c r="B28" s="602" t="s">
        <v>4</v>
      </c>
      <c r="C28" s="603" t="s">
        <v>149</v>
      </c>
      <c r="D28" s="604" t="s">
        <v>148</v>
      </c>
      <c r="F28" s="56"/>
    </row>
    <row r="29" spans="1:6" ht="17.399999999999999">
      <c r="A29" s="665" t="s">
        <v>795</v>
      </c>
      <c r="B29" s="657">
        <v>81333</v>
      </c>
      <c r="C29" s="666">
        <v>9.5000000000000001E-2</v>
      </c>
      <c r="D29" s="667">
        <f t="shared" ref="D29:D40" si="0">B29/471305</f>
        <v>0.17256977965436396</v>
      </c>
      <c r="E29" s="450"/>
      <c r="F29" s="3" t="s">
        <v>142</v>
      </c>
    </row>
    <row r="30" spans="1:6" ht="17.399999999999999">
      <c r="A30" s="623" t="s">
        <v>802</v>
      </c>
      <c r="B30" s="635">
        <v>70899</v>
      </c>
      <c r="C30" s="668">
        <v>8.3000000000000004E-2</v>
      </c>
      <c r="D30" s="658">
        <f t="shared" si="0"/>
        <v>0.15043124940325267</v>
      </c>
      <c r="E30" s="450"/>
    </row>
    <row r="31" spans="1:6" ht="17.399999999999999">
      <c r="A31" s="622" t="s">
        <v>723</v>
      </c>
      <c r="B31" s="657">
        <v>60664</v>
      </c>
      <c r="C31" s="666">
        <v>7.0999999999999994E-2</v>
      </c>
      <c r="D31" s="667">
        <f t="shared" si="0"/>
        <v>0.1287149510401969</v>
      </c>
      <c r="E31" s="450"/>
    </row>
    <row r="32" spans="1:6" ht="17.399999999999999">
      <c r="A32" s="626" t="s">
        <v>799</v>
      </c>
      <c r="B32" s="112">
        <v>57080</v>
      </c>
      <c r="C32" s="669">
        <v>6.7000000000000004E-2</v>
      </c>
      <c r="D32" s="670">
        <f t="shared" si="0"/>
        <v>0.12111053351863443</v>
      </c>
      <c r="E32" s="450"/>
    </row>
    <row r="33" spans="1:5" ht="17.399999999999999">
      <c r="A33" s="622" t="s">
        <v>801</v>
      </c>
      <c r="B33" s="657">
        <v>51881</v>
      </c>
      <c r="C33" s="666">
        <v>0.06</v>
      </c>
      <c r="D33" s="667">
        <f t="shared" si="0"/>
        <v>0.11007946022214914</v>
      </c>
      <c r="E33" s="450"/>
    </row>
    <row r="34" spans="1:5" ht="17.399999999999999">
      <c r="A34" s="624" t="s">
        <v>797</v>
      </c>
      <c r="B34" s="112">
        <v>47750</v>
      </c>
      <c r="C34" s="669">
        <v>5.6000000000000001E-2</v>
      </c>
      <c r="D34" s="670">
        <f t="shared" si="0"/>
        <v>0.10131443545050445</v>
      </c>
      <c r="E34" s="450"/>
    </row>
    <row r="35" spans="1:5" ht="17.399999999999999">
      <c r="A35" s="622" t="s">
        <v>794</v>
      </c>
      <c r="B35" s="657">
        <v>28945</v>
      </c>
      <c r="C35" s="666">
        <v>3.4000000000000002E-2</v>
      </c>
      <c r="D35" s="667">
        <f t="shared" si="0"/>
        <v>6.1414582913400025E-2</v>
      </c>
      <c r="E35" s="450"/>
    </row>
    <row r="36" spans="1:5" ht="17.399999999999999">
      <c r="A36" s="626" t="s">
        <v>798</v>
      </c>
      <c r="B36" s="112">
        <v>24347</v>
      </c>
      <c r="C36" s="669">
        <v>2.8000000000000001E-2</v>
      </c>
      <c r="D36" s="670">
        <f t="shared" si="0"/>
        <v>5.1658692354207995E-2</v>
      </c>
      <c r="E36" s="450"/>
    </row>
    <row r="37" spans="1:5" ht="17.399999999999999">
      <c r="A37" s="622" t="s">
        <v>793</v>
      </c>
      <c r="B37" s="657">
        <v>23963</v>
      </c>
      <c r="C37" s="666">
        <v>2.8000000000000001E-2</v>
      </c>
      <c r="D37" s="667">
        <f t="shared" si="0"/>
        <v>5.0843933334040588E-2</v>
      </c>
      <c r="E37" s="450"/>
    </row>
    <row r="38" spans="1:5" ht="17.399999999999999">
      <c r="A38" s="627" t="s">
        <v>796</v>
      </c>
      <c r="B38" s="112">
        <v>16134</v>
      </c>
      <c r="C38" s="669">
        <v>1.9E-2</v>
      </c>
      <c r="D38" s="670">
        <f t="shared" si="0"/>
        <v>3.4232609456721234E-2</v>
      </c>
      <c r="E38" s="450"/>
    </row>
    <row r="39" spans="1:5" ht="18" thickBot="1">
      <c r="A39" s="671" t="s">
        <v>800</v>
      </c>
      <c r="B39" s="672">
        <v>8309</v>
      </c>
      <c r="C39" s="673">
        <v>0.01</v>
      </c>
      <c r="D39" s="674">
        <f t="shared" si="0"/>
        <v>1.7629772652528616E-2</v>
      </c>
      <c r="E39" s="450"/>
    </row>
    <row r="40" spans="1:5">
      <c r="A40" s="505" t="s">
        <v>56</v>
      </c>
      <c r="B40" s="112">
        <f>SUM(B29:B39)</f>
        <v>471305</v>
      </c>
      <c r="C40" s="371"/>
      <c r="D40" s="330">
        <f t="shared" si="0"/>
        <v>1</v>
      </c>
    </row>
    <row r="41" spans="1:5">
      <c r="A41" s="505" t="s">
        <v>1</v>
      </c>
      <c r="B41" s="112">
        <v>386284</v>
      </c>
      <c r="C41" s="371">
        <v>0.45</v>
      </c>
      <c r="D41" s="606"/>
    </row>
    <row r="42" spans="1:5">
      <c r="A42" s="506" t="s">
        <v>78</v>
      </c>
      <c r="B42" s="113">
        <v>299</v>
      </c>
      <c r="C42" s="373">
        <v>0</v>
      </c>
      <c r="D42" s="608"/>
    </row>
    <row r="46" spans="1:5" ht="28.5" customHeight="1">
      <c r="A46" s="684" t="s">
        <v>787</v>
      </c>
      <c r="B46" s="685"/>
      <c r="C46" s="685"/>
      <c r="D46" s="686"/>
    </row>
    <row r="47" spans="1:5">
      <c r="A47" s="581" t="s">
        <v>789</v>
      </c>
    </row>
    <row r="48" spans="1:5">
      <c r="A48" s="581"/>
    </row>
    <row r="49" spans="1:6" ht="33" customHeight="1">
      <c r="A49" s="618" t="s">
        <v>6</v>
      </c>
      <c r="B49" s="614" t="s">
        <v>4</v>
      </c>
      <c r="C49" s="615" t="s">
        <v>149</v>
      </c>
      <c r="D49" s="616" t="s">
        <v>148</v>
      </c>
    </row>
    <row r="50" spans="1:6" ht="17.399999999999999">
      <c r="A50" s="643" t="s">
        <v>552</v>
      </c>
      <c r="B50" s="646">
        <v>175725</v>
      </c>
      <c r="C50" s="487">
        <v>0.42099999999999999</v>
      </c>
      <c r="D50" s="87">
        <f>B50/282823</f>
        <v>0.62132499832050436</v>
      </c>
      <c r="E50" s="450"/>
    </row>
    <row r="51" spans="1:6" ht="18" thickBot="1">
      <c r="A51" s="644" t="s">
        <v>792</v>
      </c>
      <c r="B51" s="645">
        <v>107098</v>
      </c>
      <c r="C51" s="647">
        <v>0.25700000000000001</v>
      </c>
      <c r="D51" s="648">
        <f>B51/282823</f>
        <v>0.37867500167949564</v>
      </c>
      <c r="E51" s="450"/>
    </row>
    <row r="52" spans="1:6">
      <c r="A52" s="591" t="s">
        <v>56</v>
      </c>
      <c r="B52" s="79">
        <f>SUM(B50:B51)</f>
        <v>282823</v>
      </c>
      <c r="C52" s="650"/>
      <c r="D52" s="649">
        <f>B52/282823</f>
        <v>1</v>
      </c>
      <c r="E52" s="651"/>
    </row>
    <row r="53" spans="1:6">
      <c r="A53" s="591" t="s">
        <v>1</v>
      </c>
      <c r="B53" s="483">
        <v>134154</v>
      </c>
      <c r="C53" s="489">
        <v>0.32200000000000001</v>
      </c>
      <c r="D53" s="596"/>
    </row>
    <row r="54" spans="1:6">
      <c r="A54" s="597" t="s">
        <v>78</v>
      </c>
      <c r="B54" s="485">
        <v>238</v>
      </c>
      <c r="C54" s="486">
        <v>1E-3</v>
      </c>
      <c r="D54" s="600"/>
    </row>
    <row r="55" spans="1:6" ht="28.5" customHeight="1">
      <c r="A55" s="688" t="s">
        <v>788</v>
      </c>
      <c r="B55" s="689"/>
      <c r="C55" s="689"/>
      <c r="D55" s="690"/>
    </row>
    <row r="56" spans="1:6">
      <c r="A56" s="581"/>
    </row>
    <row r="57" spans="1:6">
      <c r="C57" s="617"/>
    </row>
    <row r="58" spans="1:6" ht="32.4">
      <c r="A58" s="638" t="s">
        <v>9</v>
      </c>
      <c r="B58" s="639" t="s">
        <v>4</v>
      </c>
      <c r="C58" s="640" t="s">
        <v>149</v>
      </c>
      <c r="D58" s="641" t="s">
        <v>148</v>
      </c>
      <c r="F58" s="56"/>
    </row>
    <row r="59" spans="1:6" ht="17.399999999999999">
      <c r="A59" s="627" t="s">
        <v>795</v>
      </c>
      <c r="B59" s="632">
        <v>139012</v>
      </c>
      <c r="C59" s="360">
        <v>0.111</v>
      </c>
      <c r="D59" s="652">
        <f t="shared" ref="D59:D65" si="1">B59/744013</f>
        <v>0.18684082132973484</v>
      </c>
      <c r="E59" s="450"/>
    </row>
    <row r="60" spans="1:6" ht="17.399999999999999">
      <c r="A60" s="653" t="s">
        <v>801</v>
      </c>
      <c r="B60" s="654">
        <v>134370</v>
      </c>
      <c r="C60" s="655">
        <v>0.107</v>
      </c>
      <c r="D60" s="656">
        <f t="shared" si="1"/>
        <v>0.18060168303510826</v>
      </c>
      <c r="E60" s="450"/>
    </row>
    <row r="61" spans="1:6" ht="17.399999999999999">
      <c r="A61" s="622" t="s">
        <v>802</v>
      </c>
      <c r="B61" s="657">
        <v>130449</v>
      </c>
      <c r="C61" s="322">
        <v>0.104</v>
      </c>
      <c r="D61" s="658">
        <f t="shared" si="1"/>
        <v>0.17533161382932824</v>
      </c>
      <c r="E61" s="450"/>
    </row>
    <row r="62" spans="1:6" ht="17.399999999999999">
      <c r="A62" s="659" t="s">
        <v>723</v>
      </c>
      <c r="B62" s="660">
        <v>119503</v>
      </c>
      <c r="C62" s="661">
        <v>9.6000000000000002E-2</v>
      </c>
      <c r="D62" s="656">
        <f t="shared" si="1"/>
        <v>0.1606195053043428</v>
      </c>
      <c r="E62" s="450"/>
    </row>
    <row r="63" spans="1:6" ht="17.399999999999999">
      <c r="A63" s="627" t="s">
        <v>799</v>
      </c>
      <c r="B63" s="657">
        <v>117911</v>
      </c>
      <c r="C63" s="322">
        <v>9.4E-2</v>
      </c>
      <c r="D63" s="658">
        <f t="shared" si="1"/>
        <v>0.1584797577461684</v>
      </c>
      <c r="E63" s="450"/>
    </row>
    <row r="64" spans="1:6" ht="18" thickBot="1">
      <c r="A64" s="637" t="s">
        <v>797</v>
      </c>
      <c r="B64" s="662">
        <v>102768</v>
      </c>
      <c r="C64" s="663">
        <v>8.2000000000000003E-2</v>
      </c>
      <c r="D64" s="664">
        <f t="shared" si="1"/>
        <v>0.13812661875531745</v>
      </c>
      <c r="E64" s="450"/>
    </row>
    <row r="65" spans="1:4">
      <c r="A65" s="605" t="s">
        <v>56</v>
      </c>
      <c r="B65" s="112">
        <f>SUM(B59:B64)</f>
        <v>744013</v>
      </c>
      <c r="C65" s="293"/>
      <c r="D65" s="330">
        <f t="shared" si="1"/>
        <v>1</v>
      </c>
    </row>
    <row r="66" spans="1:4">
      <c r="A66" s="605" t="s">
        <v>1</v>
      </c>
      <c r="B66" s="112">
        <v>506615</v>
      </c>
      <c r="C66" s="293">
        <v>0.40500000000000003</v>
      </c>
      <c r="D66" s="606"/>
    </row>
    <row r="67" spans="1:4">
      <c r="A67" s="607" t="s">
        <v>78</v>
      </c>
      <c r="B67" s="113">
        <v>339</v>
      </c>
      <c r="C67" s="294">
        <v>0</v>
      </c>
      <c r="D67" s="608"/>
    </row>
    <row r="70" spans="1:4" ht="38.25" customHeight="1">
      <c r="A70" s="687" t="s">
        <v>147</v>
      </c>
      <c r="B70" s="687"/>
      <c r="C70" s="687"/>
      <c r="D70" s="687"/>
    </row>
  </sheetData>
  <mergeCells count="5">
    <mergeCell ref="A2:D2"/>
    <mergeCell ref="A46:D46"/>
    <mergeCell ref="A70:D70"/>
    <mergeCell ref="A11:D11"/>
    <mergeCell ref="A55:D55"/>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82"/>
  <sheetViews>
    <sheetView topLeftCell="A7" workbookViewId="0">
      <selection activeCell="F15" sqref="F15"/>
    </sheetView>
  </sheetViews>
  <sheetFormatPr defaultRowHeight="13.8"/>
  <cols>
    <col min="1" max="1" width="36.296875" style="501" customWidth="1"/>
    <col min="2" max="2" width="11.09765625" style="74" customWidth="1"/>
    <col min="3" max="3" width="11.09765625" style="83" customWidth="1"/>
    <col min="4" max="4" width="11.09765625" style="84" customWidth="1"/>
    <col min="6" max="6" width="8.59765625" style="3"/>
  </cols>
  <sheetData>
    <row r="2" spans="1:6" ht="32.4">
      <c r="A2" s="691" t="s">
        <v>143</v>
      </c>
      <c r="B2" s="692"/>
      <c r="C2" s="692"/>
      <c r="D2" s="693"/>
      <c r="F2" s="56"/>
    </row>
    <row r="3" spans="1:6">
      <c r="A3" s="496">
        <v>44051</v>
      </c>
    </row>
    <row r="4" spans="1:6">
      <c r="A4" s="497"/>
    </row>
    <row r="5" spans="1:6" ht="32.4">
      <c r="A5" s="498" t="s">
        <v>5</v>
      </c>
      <c r="B5" s="75" t="s">
        <v>4</v>
      </c>
      <c r="C5" s="85" t="s">
        <v>149</v>
      </c>
      <c r="D5" s="86" t="s">
        <v>148</v>
      </c>
      <c r="F5" s="56"/>
    </row>
    <row r="6" spans="1:6" ht="17.399999999999999">
      <c r="A6" s="493" t="s">
        <v>758</v>
      </c>
      <c r="B6" s="440">
        <v>76573</v>
      </c>
      <c r="C6" s="474">
        <v>0.188</v>
      </c>
      <c r="D6" s="87">
        <f>B6/180949</f>
        <v>0.42317448562854726</v>
      </c>
      <c r="E6" s="450"/>
      <c r="F6" s="9"/>
    </row>
    <row r="7" spans="1:6" ht="17.399999999999999">
      <c r="A7" s="494" t="s">
        <v>701</v>
      </c>
      <c r="B7" s="441">
        <v>69115</v>
      </c>
      <c r="C7" s="475">
        <v>0.17</v>
      </c>
      <c r="D7" s="88">
        <f>B7/180949</f>
        <v>0.3819584523816103</v>
      </c>
      <c r="E7" s="450"/>
    </row>
    <row r="8" spans="1:6" ht="18" thickBot="1">
      <c r="A8" s="495" t="s">
        <v>759</v>
      </c>
      <c r="B8" s="442">
        <v>35261</v>
      </c>
      <c r="C8" s="476">
        <v>8.6999999999999994E-2</v>
      </c>
      <c r="D8" s="89">
        <f>B8/180949</f>
        <v>0.19486706198984244</v>
      </c>
      <c r="E8" s="450"/>
    </row>
    <row r="9" spans="1:6">
      <c r="A9" s="499" t="s">
        <v>56</v>
      </c>
      <c r="B9" s="76">
        <v>180949</v>
      </c>
      <c r="C9" s="90"/>
      <c r="D9" s="91">
        <f>B9/180949</f>
        <v>1</v>
      </c>
    </row>
    <row r="10" spans="1:6">
      <c r="A10" s="499" t="s">
        <v>1</v>
      </c>
      <c r="B10" s="77">
        <v>225387</v>
      </c>
      <c r="C10" s="477">
        <v>0.55500000000000005</v>
      </c>
      <c r="D10" s="92"/>
    </row>
    <row r="11" spans="1:6">
      <c r="A11" s="500" t="s">
        <v>78</v>
      </c>
      <c r="B11" s="78">
        <v>89</v>
      </c>
      <c r="C11" s="478">
        <v>0</v>
      </c>
      <c r="D11" s="93"/>
    </row>
    <row r="12" spans="1:6">
      <c r="D12" s="94"/>
    </row>
    <row r="14" spans="1:6" ht="32.4">
      <c r="A14" s="498" t="s">
        <v>2</v>
      </c>
      <c r="B14" s="75" t="s">
        <v>4</v>
      </c>
      <c r="C14" s="85" t="s">
        <v>149</v>
      </c>
      <c r="D14" s="86" t="s">
        <v>148</v>
      </c>
      <c r="F14" s="56"/>
    </row>
    <row r="15" spans="1:6" ht="17.399999999999999">
      <c r="A15" s="493" t="s">
        <v>760</v>
      </c>
      <c r="B15" s="440">
        <v>92034</v>
      </c>
      <c r="C15" s="479">
        <v>0.22600000000000001</v>
      </c>
      <c r="D15" s="87">
        <f>B15/182271</f>
        <v>0.50492947314712711</v>
      </c>
      <c r="E15" s="450"/>
      <c r="F15" s="3" t="s">
        <v>146</v>
      </c>
    </row>
    <row r="16" spans="1:6" ht="17.399999999999999">
      <c r="A16" s="494" t="s">
        <v>761</v>
      </c>
      <c r="B16" s="441">
        <v>54925</v>
      </c>
      <c r="C16" s="480">
        <v>0.13500000000000001</v>
      </c>
      <c r="D16" s="88">
        <f t="shared" ref="D16:D18" si="0">B16/182271</f>
        <v>0.30133702015131314</v>
      </c>
      <c r="E16" s="450"/>
    </row>
    <row r="17" spans="1:6" ht="18" thickBot="1">
      <c r="A17" s="495" t="s">
        <v>762</v>
      </c>
      <c r="B17" s="481">
        <v>35312</v>
      </c>
      <c r="C17" s="482">
        <v>8.6999999999999994E-2</v>
      </c>
      <c r="D17" s="89">
        <f t="shared" si="0"/>
        <v>0.19373350670155975</v>
      </c>
      <c r="E17" s="450"/>
    </row>
    <row r="18" spans="1:6">
      <c r="A18" s="499" t="s">
        <v>56</v>
      </c>
      <c r="B18" s="79">
        <v>182271</v>
      </c>
      <c r="C18" s="95"/>
      <c r="D18" s="96">
        <f t="shared" si="0"/>
        <v>1</v>
      </c>
    </row>
    <row r="19" spans="1:6">
      <c r="A19" s="499" t="s">
        <v>1</v>
      </c>
      <c r="B19" s="483">
        <v>224060</v>
      </c>
      <c r="C19" s="484">
        <v>0.55100000000000005</v>
      </c>
      <c r="D19" s="97"/>
    </row>
    <row r="20" spans="1:6">
      <c r="A20" s="500" t="s">
        <v>78</v>
      </c>
      <c r="B20" s="485">
        <v>94</v>
      </c>
      <c r="C20" s="486">
        <v>0</v>
      </c>
      <c r="D20" s="98"/>
    </row>
    <row r="21" spans="1:6">
      <c r="A21" s="502"/>
    </row>
    <row r="23" spans="1:6" ht="32.4">
      <c r="A23" s="498" t="s">
        <v>6</v>
      </c>
      <c r="B23" s="75" t="s">
        <v>4</v>
      </c>
      <c r="C23" s="85" t="s">
        <v>149</v>
      </c>
      <c r="D23" s="86" t="s">
        <v>148</v>
      </c>
      <c r="F23" s="56"/>
    </row>
    <row r="24" spans="1:6" ht="17.399999999999999">
      <c r="A24" s="493" t="s">
        <v>782</v>
      </c>
      <c r="B24" s="440">
        <v>38242</v>
      </c>
      <c r="C24" s="487">
        <v>9.4E-2</v>
      </c>
      <c r="D24" s="87">
        <f>B24/223293</f>
        <v>0.17126376554571796</v>
      </c>
      <c r="E24" s="450"/>
    </row>
    <row r="25" spans="1:6" ht="17.399999999999999">
      <c r="A25" s="494" t="s">
        <v>764</v>
      </c>
      <c r="B25" s="441">
        <v>34704</v>
      </c>
      <c r="C25" s="480">
        <v>8.5000000000000006E-2</v>
      </c>
      <c r="D25" s="88">
        <f t="shared" ref="D25:D34" si="1">B25/223293</f>
        <v>0.15541911300399028</v>
      </c>
      <c r="E25" s="450"/>
    </row>
    <row r="26" spans="1:6" ht="17.399999999999999">
      <c r="A26" s="493" t="s">
        <v>765</v>
      </c>
      <c r="B26" s="440">
        <v>28754</v>
      </c>
      <c r="C26" s="479">
        <v>7.0999999999999994E-2</v>
      </c>
      <c r="D26" s="87">
        <f t="shared" si="1"/>
        <v>0.12877250966219272</v>
      </c>
      <c r="E26" s="450"/>
    </row>
    <row r="27" spans="1:6" ht="17.399999999999999">
      <c r="A27" s="494" t="s">
        <v>766</v>
      </c>
      <c r="B27" s="441">
        <v>24353</v>
      </c>
      <c r="C27" s="480">
        <v>0.06</v>
      </c>
      <c r="D27" s="88">
        <f t="shared" si="1"/>
        <v>0.10906298003072197</v>
      </c>
      <c r="E27" s="450"/>
    </row>
    <row r="28" spans="1:6" ht="17.399999999999999">
      <c r="A28" s="493" t="s">
        <v>767</v>
      </c>
      <c r="B28" s="440">
        <v>20639</v>
      </c>
      <c r="C28" s="479">
        <v>5.0999999999999997E-2</v>
      </c>
      <c r="D28" s="87">
        <f t="shared" si="1"/>
        <v>9.2430125440564642E-2</v>
      </c>
      <c r="E28" s="450"/>
    </row>
    <row r="29" spans="1:6" ht="17.399999999999999">
      <c r="A29" s="494" t="s">
        <v>768</v>
      </c>
      <c r="B29" s="441">
        <v>15296</v>
      </c>
      <c r="C29" s="480">
        <v>3.7999999999999999E-2</v>
      </c>
      <c r="D29" s="88">
        <f t="shared" si="1"/>
        <v>6.8501923481703406E-2</v>
      </c>
      <c r="E29" s="450"/>
    </row>
    <row r="30" spans="1:6" ht="17.399999999999999">
      <c r="A30" s="493" t="s">
        <v>769</v>
      </c>
      <c r="B30" s="440">
        <v>14268</v>
      </c>
      <c r="C30" s="479">
        <v>3.5000000000000003E-2</v>
      </c>
      <c r="D30" s="87">
        <f t="shared" si="1"/>
        <v>6.3898106971557553E-2</v>
      </c>
      <c r="E30" s="450"/>
    </row>
    <row r="31" spans="1:6" ht="17.399999999999999">
      <c r="A31" s="494" t="s">
        <v>770</v>
      </c>
      <c r="B31" s="441">
        <v>13807</v>
      </c>
      <c r="C31" s="480">
        <v>3.4000000000000002E-2</v>
      </c>
      <c r="D31" s="88">
        <f t="shared" si="1"/>
        <v>6.1833555015159455E-2</v>
      </c>
      <c r="E31" s="450"/>
    </row>
    <row r="32" spans="1:6" ht="17.399999999999999">
      <c r="A32" s="493" t="s">
        <v>771</v>
      </c>
      <c r="B32" s="440">
        <v>13410</v>
      </c>
      <c r="C32" s="479">
        <v>3.3000000000000002E-2</v>
      </c>
      <c r="D32" s="87">
        <f t="shared" si="1"/>
        <v>6.0055621985463048E-2</v>
      </c>
      <c r="E32" s="450"/>
    </row>
    <row r="33" spans="1:6" ht="17.399999999999999">
      <c r="A33" s="494" t="s">
        <v>772</v>
      </c>
      <c r="B33" s="441">
        <v>12223</v>
      </c>
      <c r="C33" s="480">
        <v>0.03</v>
      </c>
      <c r="D33" s="88">
        <f t="shared" si="1"/>
        <v>5.473973657929268E-2</v>
      </c>
      <c r="E33" s="450"/>
    </row>
    <row r="34" spans="1:6" ht="18" thickBot="1">
      <c r="A34" s="495" t="s">
        <v>773</v>
      </c>
      <c r="B34" s="442">
        <v>7597</v>
      </c>
      <c r="C34" s="488">
        <v>1.9E-2</v>
      </c>
      <c r="D34" s="99">
        <f t="shared" si="1"/>
        <v>3.4022562283636301E-2</v>
      </c>
      <c r="E34" s="450"/>
    </row>
    <row r="35" spans="1:6">
      <c r="A35" s="499" t="s">
        <v>56</v>
      </c>
      <c r="B35" s="79">
        <v>223293</v>
      </c>
      <c r="C35" s="95"/>
      <c r="D35" s="91">
        <f>B35/223293</f>
        <v>1</v>
      </c>
    </row>
    <row r="36" spans="1:6">
      <c r="A36" s="499" t="s">
        <v>1</v>
      </c>
      <c r="B36" s="483">
        <v>182695</v>
      </c>
      <c r="C36" s="489">
        <v>0.45</v>
      </c>
      <c r="D36" s="92"/>
    </row>
    <row r="37" spans="1:6">
      <c r="A37" s="500" t="s">
        <v>78</v>
      </c>
      <c r="B37" s="485">
        <v>437</v>
      </c>
      <c r="C37" s="486">
        <v>1E-3</v>
      </c>
      <c r="D37" s="98"/>
    </row>
    <row r="38" spans="1:6">
      <c r="A38" s="497"/>
    </row>
    <row r="40" spans="1:6" ht="32.4">
      <c r="A40" s="498" t="s">
        <v>0</v>
      </c>
      <c r="B40" s="75" t="s">
        <v>4</v>
      </c>
      <c r="C40" s="85" t="s">
        <v>149</v>
      </c>
      <c r="D40" s="86" t="s">
        <v>148</v>
      </c>
      <c r="F40" s="56"/>
    </row>
    <row r="41" spans="1:6" ht="17.399999999999999">
      <c r="A41" s="493" t="s">
        <v>774</v>
      </c>
      <c r="B41" s="440">
        <v>77013</v>
      </c>
      <c r="C41" s="479">
        <v>0.189</v>
      </c>
      <c r="D41" s="87">
        <f>B41/223526</f>
        <v>0.34453710082943373</v>
      </c>
      <c r="E41" s="450"/>
    </row>
    <row r="42" spans="1:6" ht="17.399999999999999">
      <c r="A42" s="494" t="s">
        <v>775</v>
      </c>
      <c r="B42" s="441">
        <v>60265</v>
      </c>
      <c r="C42" s="480">
        <v>0.14799999999999999</v>
      </c>
      <c r="D42" s="88">
        <f t="shared" ref="D42:D48" si="2">B42/223526</f>
        <v>0.26961069405796195</v>
      </c>
      <c r="E42" s="450"/>
    </row>
    <row r="43" spans="1:6" ht="17.399999999999999">
      <c r="A43" s="493" t="s">
        <v>776</v>
      </c>
      <c r="B43" s="440">
        <v>29355</v>
      </c>
      <c r="C43" s="479">
        <v>7.1999999999999995E-2</v>
      </c>
      <c r="D43" s="87">
        <f t="shared" si="2"/>
        <v>0.131327004464805</v>
      </c>
      <c r="E43" s="450"/>
    </row>
    <row r="44" spans="1:6" ht="17.399999999999999">
      <c r="A44" s="494" t="s">
        <v>777</v>
      </c>
      <c r="B44" s="441">
        <v>20648</v>
      </c>
      <c r="C44" s="480">
        <v>5.0999999999999997E-2</v>
      </c>
      <c r="D44" s="88">
        <f t="shared" si="2"/>
        <v>9.2374041498528139E-2</v>
      </c>
      <c r="E44" s="450"/>
    </row>
    <row r="45" spans="1:6" ht="17.399999999999999">
      <c r="A45" s="493" t="s">
        <v>778</v>
      </c>
      <c r="B45" s="440">
        <v>15249</v>
      </c>
      <c r="C45" s="479">
        <v>3.7999999999999999E-2</v>
      </c>
      <c r="D45" s="87">
        <f t="shared" si="2"/>
        <v>6.822025178279037E-2</v>
      </c>
      <c r="E45" s="450"/>
    </row>
    <row r="46" spans="1:6" ht="17.399999999999999">
      <c r="A46" s="494" t="s">
        <v>779</v>
      </c>
      <c r="B46" s="441">
        <v>11763</v>
      </c>
      <c r="C46" s="480">
        <v>2.9000000000000001E-2</v>
      </c>
      <c r="D46" s="88">
        <f t="shared" si="2"/>
        <v>5.262475058829845E-2</v>
      </c>
      <c r="E46" s="450"/>
    </row>
    <row r="47" spans="1:6" ht="18" thickBot="1">
      <c r="A47" s="495" t="s">
        <v>780</v>
      </c>
      <c r="B47" s="442">
        <v>9233</v>
      </c>
      <c r="C47" s="488">
        <v>2.3E-2</v>
      </c>
      <c r="D47" s="89">
        <f t="shared" si="2"/>
        <v>4.1306156778182404E-2</v>
      </c>
      <c r="E47" s="450"/>
    </row>
    <row r="48" spans="1:6">
      <c r="A48" s="499" t="s">
        <v>56</v>
      </c>
      <c r="B48" s="79">
        <f>SUM(B41:B47)</f>
        <v>223526</v>
      </c>
      <c r="C48" s="100"/>
      <c r="D48" s="101">
        <f t="shared" si="2"/>
        <v>1</v>
      </c>
    </row>
    <row r="49" spans="1:6">
      <c r="A49" s="499" t="s">
        <v>1</v>
      </c>
      <c r="B49" s="483">
        <v>182662</v>
      </c>
      <c r="C49" s="489">
        <v>0.44900000000000001</v>
      </c>
      <c r="D49" s="92"/>
    </row>
    <row r="50" spans="1:6">
      <c r="A50" s="500" t="s">
        <v>78</v>
      </c>
      <c r="B50" s="485">
        <v>237</v>
      </c>
      <c r="C50" s="478">
        <v>1E-3</v>
      </c>
      <c r="D50" s="93"/>
    </row>
    <row r="54" spans="1:6" ht="32.4">
      <c r="A54" s="694" t="s">
        <v>144</v>
      </c>
      <c r="B54" s="695"/>
      <c r="C54" s="695"/>
      <c r="D54" s="696"/>
      <c r="F54" s="56"/>
    </row>
    <row r="55" spans="1:6">
      <c r="A55" s="496">
        <v>44138</v>
      </c>
    </row>
    <row r="57" spans="1:6" ht="32.4">
      <c r="A57" s="503" t="s">
        <v>6</v>
      </c>
      <c r="B57" s="80" t="s">
        <v>4</v>
      </c>
      <c r="C57" s="102" t="s">
        <v>149</v>
      </c>
      <c r="D57" s="103" t="s">
        <v>148</v>
      </c>
      <c r="F57" s="56"/>
    </row>
    <row r="58" spans="1:6" ht="17.399999999999999">
      <c r="A58" s="493" t="s">
        <v>763</v>
      </c>
      <c r="B58" s="155">
        <v>231916</v>
      </c>
      <c r="C58" s="104">
        <v>0.4</v>
      </c>
      <c r="D58" s="243">
        <f>B58/382470</f>
        <v>0.60636389782205136</v>
      </c>
      <c r="E58" s="450"/>
    </row>
    <row r="59" spans="1:6" ht="18" thickBot="1">
      <c r="A59" s="504" t="s">
        <v>764</v>
      </c>
      <c r="B59" s="443">
        <v>150554</v>
      </c>
      <c r="C59" s="105">
        <v>0.26</v>
      </c>
      <c r="D59" s="490">
        <f>B59/382470</f>
        <v>0.39363610217794859</v>
      </c>
      <c r="E59" s="450"/>
    </row>
    <row r="60" spans="1:6">
      <c r="A60" s="505" t="s">
        <v>56</v>
      </c>
      <c r="B60" s="81">
        <v>382470</v>
      </c>
      <c r="C60" s="106"/>
      <c r="D60" s="247">
        <f>SUM(D58:D59)</f>
        <v>1</v>
      </c>
    </row>
    <row r="61" spans="1:6">
      <c r="A61" s="505" t="s">
        <v>1</v>
      </c>
      <c r="B61" s="81">
        <v>197149</v>
      </c>
      <c r="C61" s="106">
        <v>0.34</v>
      </c>
      <c r="D61" s="107"/>
    </row>
    <row r="62" spans="1:6">
      <c r="A62" s="506" t="s">
        <v>78</v>
      </c>
      <c r="B62" s="82">
        <v>165</v>
      </c>
      <c r="C62" s="108">
        <v>0</v>
      </c>
      <c r="D62" s="109"/>
    </row>
    <row r="63" spans="1:6" ht="43.05" customHeight="1">
      <c r="A63" s="697" t="s">
        <v>791</v>
      </c>
      <c r="B63" s="697"/>
      <c r="C63" s="697"/>
      <c r="D63" s="697"/>
    </row>
    <row r="66" spans="1:6" ht="32.4">
      <c r="A66" s="507" t="s">
        <v>7</v>
      </c>
      <c r="B66" s="80" t="s">
        <v>4</v>
      </c>
      <c r="C66" s="102" t="s">
        <v>149</v>
      </c>
      <c r="D66" s="103" t="s">
        <v>148</v>
      </c>
      <c r="F66" s="56"/>
    </row>
    <row r="67" spans="1:6" ht="17.399999999999999">
      <c r="A67" s="493" t="s">
        <v>774</v>
      </c>
      <c r="B67" s="155">
        <v>197829</v>
      </c>
      <c r="C67" s="104">
        <v>0.34100000000000003</v>
      </c>
      <c r="D67" s="243">
        <f>B67/393035</f>
        <v>0.50333685295202713</v>
      </c>
      <c r="E67" s="450"/>
    </row>
    <row r="68" spans="1:6" ht="18" thickBot="1">
      <c r="A68" s="508" t="s">
        <v>775</v>
      </c>
      <c r="B68" s="444">
        <v>195206</v>
      </c>
      <c r="C68" s="110">
        <v>0.33800000000000002</v>
      </c>
      <c r="D68" s="250">
        <f>B68/393035</f>
        <v>0.49666314704797282</v>
      </c>
      <c r="E68" s="450"/>
    </row>
    <row r="69" spans="1:6">
      <c r="A69" s="505" t="s">
        <v>56</v>
      </c>
      <c r="B69" s="81">
        <v>393035</v>
      </c>
      <c r="C69" s="106"/>
      <c r="D69" s="247">
        <f>SUM(D67:D68)</f>
        <v>1</v>
      </c>
    </row>
    <row r="70" spans="1:6">
      <c r="A70" s="499" t="s">
        <v>1</v>
      </c>
      <c r="B70" s="158">
        <v>185571</v>
      </c>
      <c r="C70" s="106">
        <v>0.32</v>
      </c>
      <c r="D70" s="107"/>
    </row>
    <row r="71" spans="1:6">
      <c r="A71" s="500" t="s">
        <v>78</v>
      </c>
      <c r="B71" s="491">
        <v>178</v>
      </c>
      <c r="C71" s="108">
        <v>0</v>
      </c>
      <c r="D71" s="109"/>
    </row>
    <row r="73" spans="1:6">
      <c r="A73" s="497"/>
    </row>
    <row r="74" spans="1:6" ht="32.4">
      <c r="A74" s="503" t="s">
        <v>5</v>
      </c>
      <c r="B74" s="80" t="s">
        <v>4</v>
      </c>
      <c r="C74" s="102" t="s">
        <v>149</v>
      </c>
      <c r="D74" s="103" t="s">
        <v>148</v>
      </c>
      <c r="F74" s="56"/>
    </row>
    <row r="75" spans="1:6" ht="17.399999999999999">
      <c r="A75" s="493" t="s">
        <v>758</v>
      </c>
      <c r="B75" s="155">
        <v>199004</v>
      </c>
      <c r="C75" s="104">
        <v>0.34300000000000003</v>
      </c>
      <c r="D75" s="243">
        <f>B75/359250</f>
        <v>0.5539429366736256</v>
      </c>
      <c r="E75" s="450"/>
    </row>
    <row r="76" spans="1:6" ht="18" thickBot="1">
      <c r="A76" s="508" t="s">
        <v>701</v>
      </c>
      <c r="B76" s="444">
        <v>160246</v>
      </c>
      <c r="C76" s="110">
        <v>0.27600000000000002</v>
      </c>
      <c r="D76" s="250">
        <f>B76/359250</f>
        <v>0.4460570633263744</v>
      </c>
      <c r="E76" s="450"/>
    </row>
    <row r="77" spans="1:6">
      <c r="A77" s="505" t="s">
        <v>56</v>
      </c>
      <c r="B77" s="81">
        <v>359250</v>
      </c>
      <c r="C77" s="106"/>
      <c r="D77" s="247">
        <f>SUM(D75:D76)</f>
        <v>1</v>
      </c>
    </row>
    <row r="78" spans="1:6">
      <c r="A78" s="505" t="s">
        <v>1</v>
      </c>
      <c r="B78" s="81">
        <v>220374</v>
      </c>
      <c r="C78" s="106">
        <v>0.38</v>
      </c>
      <c r="D78" s="107"/>
    </row>
    <row r="79" spans="1:6">
      <c r="A79" s="506" t="s">
        <v>78</v>
      </c>
      <c r="B79" s="492">
        <v>160</v>
      </c>
      <c r="C79" s="108">
        <v>0</v>
      </c>
      <c r="D79" s="109"/>
    </row>
    <row r="82" spans="1:4" ht="29.55" customHeight="1">
      <c r="A82" s="687" t="s">
        <v>147</v>
      </c>
      <c r="B82" s="687"/>
      <c r="C82" s="687"/>
      <c r="D82" s="687"/>
    </row>
  </sheetData>
  <mergeCells count="4">
    <mergeCell ref="A2:D2"/>
    <mergeCell ref="A54:D54"/>
    <mergeCell ref="A82:D82"/>
    <mergeCell ref="A63:D63"/>
  </mergeCells>
  <pageMargins left="0.7" right="0.7" top="0.75" bottom="0.75" header="0.3" footer="0.3"/>
  <pageSetup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76"/>
  <sheetViews>
    <sheetView topLeftCell="A70" workbookViewId="0">
      <selection activeCell="F55" sqref="F55"/>
    </sheetView>
  </sheetViews>
  <sheetFormatPr defaultColWidth="9" defaultRowHeight="13.8"/>
  <cols>
    <col min="1" max="1" width="35.19921875" style="515" customWidth="1"/>
    <col min="2" max="2" width="10.59765625" style="111" customWidth="1"/>
    <col min="3" max="3" width="10.59765625" style="274" customWidth="1"/>
    <col min="4" max="4" width="10.59765625" style="239" customWidth="1"/>
    <col min="5" max="16384" width="9" style="3"/>
  </cols>
  <sheetData>
    <row r="2" spans="1:6" ht="27.75" customHeight="1">
      <c r="A2" s="698" t="s">
        <v>46</v>
      </c>
      <c r="B2" s="699"/>
      <c r="C2" s="699"/>
      <c r="D2" s="700"/>
      <c r="F2" s="56"/>
    </row>
    <row r="3" spans="1:6">
      <c r="A3" s="509" t="s">
        <v>11</v>
      </c>
    </row>
    <row r="5" spans="1:6" ht="32.4">
      <c r="A5" s="510" t="s">
        <v>8</v>
      </c>
      <c r="B5" s="75" t="s">
        <v>4</v>
      </c>
      <c r="C5" s="85" t="s">
        <v>149</v>
      </c>
      <c r="D5" s="86" t="s">
        <v>148</v>
      </c>
      <c r="F5" s="56"/>
    </row>
    <row r="6" spans="1:6" ht="17.399999999999999">
      <c r="A6" s="493" t="s">
        <v>735</v>
      </c>
      <c r="B6" s="435">
        <v>44938</v>
      </c>
      <c r="C6" s="360">
        <v>0.157</v>
      </c>
      <c r="D6" s="361">
        <f>B6/167525</f>
        <v>0.26824653036860169</v>
      </c>
      <c r="E6" s="450"/>
    </row>
    <row r="7" spans="1:6" ht="17.399999999999999">
      <c r="A7" s="494" t="s">
        <v>736</v>
      </c>
      <c r="B7" s="436">
        <v>39906</v>
      </c>
      <c r="C7" s="362">
        <v>0.13900000000000001</v>
      </c>
      <c r="D7" s="363">
        <f t="shared" ref="D7:D12" si="0">B7/167525</f>
        <v>0.23820922250410387</v>
      </c>
      <c r="E7" s="450"/>
    </row>
    <row r="8" spans="1:6" ht="17.399999999999999">
      <c r="A8" s="493" t="s">
        <v>737</v>
      </c>
      <c r="B8" s="435">
        <v>37468</v>
      </c>
      <c r="C8" s="360">
        <v>0.13100000000000001</v>
      </c>
      <c r="D8" s="361">
        <f t="shared" si="0"/>
        <v>0.22365617072078794</v>
      </c>
      <c r="E8" s="450"/>
    </row>
    <row r="9" spans="1:6" ht="17.399999999999999">
      <c r="A9" s="494" t="s">
        <v>738</v>
      </c>
      <c r="B9" s="436">
        <v>14055</v>
      </c>
      <c r="C9" s="362">
        <v>4.9000000000000002E-2</v>
      </c>
      <c r="D9" s="363">
        <f t="shared" si="0"/>
        <v>8.3897925682733923E-2</v>
      </c>
      <c r="E9" s="450"/>
    </row>
    <row r="10" spans="1:6" ht="17.399999999999999">
      <c r="A10" s="493" t="s">
        <v>633</v>
      </c>
      <c r="B10" s="435">
        <v>13334</v>
      </c>
      <c r="C10" s="360">
        <v>4.7E-2</v>
      </c>
      <c r="D10" s="361">
        <f t="shared" si="0"/>
        <v>7.9594090434263548E-2</v>
      </c>
      <c r="E10" s="450"/>
    </row>
    <row r="11" spans="1:6" ht="17.399999999999999">
      <c r="A11" s="494" t="s">
        <v>660</v>
      </c>
      <c r="B11" s="436">
        <v>8931</v>
      </c>
      <c r="C11" s="362">
        <v>3.1E-2</v>
      </c>
      <c r="D11" s="363">
        <f t="shared" si="0"/>
        <v>5.3311446052827935E-2</v>
      </c>
      <c r="E11" s="450"/>
    </row>
    <row r="12" spans="1:6" ht="18" thickBot="1">
      <c r="A12" s="495" t="s">
        <v>739</v>
      </c>
      <c r="B12" s="437">
        <v>8893</v>
      </c>
      <c r="C12" s="364">
        <v>3.1E-2</v>
      </c>
      <c r="D12" s="365">
        <f t="shared" si="0"/>
        <v>5.3084614236681094E-2</v>
      </c>
      <c r="E12" s="450"/>
    </row>
    <row r="13" spans="1:6">
      <c r="A13" s="505" t="s">
        <v>56</v>
      </c>
      <c r="B13" s="112">
        <f>SUM(B6:B12)</f>
        <v>167525</v>
      </c>
      <c r="C13" s="366"/>
      <c r="D13" s="330">
        <f>B13/167525</f>
        <v>1</v>
      </c>
    </row>
    <row r="14" spans="1:6">
      <c r="A14" s="505" t="s">
        <v>1</v>
      </c>
      <c r="B14" s="112">
        <v>118300</v>
      </c>
      <c r="C14" s="366">
        <v>0.41299999999999998</v>
      </c>
      <c r="D14" s="251"/>
    </row>
    <row r="15" spans="1:6">
      <c r="A15" s="506" t="s">
        <v>78</v>
      </c>
      <c r="B15" s="113">
        <v>355</v>
      </c>
      <c r="C15" s="367">
        <v>1E-3</v>
      </c>
      <c r="D15" s="253"/>
    </row>
    <row r="17" spans="1:6">
      <c r="A17" s="497"/>
      <c r="B17" s="74"/>
      <c r="C17" s="83"/>
      <c r="D17" s="84"/>
    </row>
    <row r="18" spans="1:6" ht="32.4">
      <c r="A18" s="511" t="s">
        <v>3</v>
      </c>
      <c r="B18" s="75" t="s">
        <v>4</v>
      </c>
      <c r="C18" s="85" t="s">
        <v>149</v>
      </c>
      <c r="D18" s="86" t="s">
        <v>148</v>
      </c>
      <c r="F18" s="56"/>
    </row>
    <row r="19" spans="1:6" ht="17.399999999999999">
      <c r="A19" s="493" t="s">
        <v>720</v>
      </c>
      <c r="B19" s="423"/>
      <c r="C19" s="322"/>
      <c r="D19" s="466"/>
      <c r="E19" s="450"/>
      <c r="F19" s="9" t="s">
        <v>140</v>
      </c>
    </row>
    <row r="20" spans="1:6" ht="17.399999999999999">
      <c r="A20" s="494" t="s">
        <v>740</v>
      </c>
      <c r="B20" s="438"/>
      <c r="C20" s="368"/>
      <c r="D20" s="472"/>
      <c r="E20" s="450"/>
    </row>
    <row r="21" spans="1:6">
      <c r="A21" s="512"/>
    </row>
    <row r="22" spans="1:6" customFormat="1">
      <c r="A22" s="497"/>
      <c r="B22" s="74"/>
      <c r="C22" s="83"/>
      <c r="D22" s="84"/>
    </row>
    <row r="23" spans="1:6" ht="32.4">
      <c r="A23" s="511" t="s">
        <v>9</v>
      </c>
      <c r="B23" s="75" t="s">
        <v>4</v>
      </c>
      <c r="C23" s="85" t="s">
        <v>149</v>
      </c>
      <c r="D23" s="86" t="s">
        <v>148</v>
      </c>
      <c r="F23" s="56"/>
    </row>
    <row r="24" spans="1:6" ht="17.399999999999999">
      <c r="A24" s="493" t="s">
        <v>741</v>
      </c>
      <c r="B24" s="129">
        <v>74203</v>
      </c>
      <c r="C24" s="369">
        <v>8.5999999999999993E-2</v>
      </c>
      <c r="D24" s="243">
        <f>B24/431924</f>
        <v>0.17179642714922069</v>
      </c>
      <c r="E24" s="450"/>
      <c r="F24" s="3" t="s">
        <v>142</v>
      </c>
    </row>
    <row r="25" spans="1:6" ht="17.399999999999999">
      <c r="A25" s="494" t="s">
        <v>707</v>
      </c>
      <c r="B25" s="439">
        <v>53063</v>
      </c>
      <c r="C25" s="370">
        <v>6.2E-2</v>
      </c>
      <c r="D25" s="473">
        <f t="shared" ref="D25:D39" si="1">B25/431924</f>
        <v>0.12285263148146433</v>
      </c>
      <c r="E25" s="450"/>
    </row>
    <row r="26" spans="1:6" ht="17.399999999999999">
      <c r="A26" s="493" t="s">
        <v>742</v>
      </c>
      <c r="B26" s="111">
        <v>50607</v>
      </c>
      <c r="C26" s="371">
        <v>5.8999999999999997E-2</v>
      </c>
      <c r="D26" s="247">
        <f t="shared" si="1"/>
        <v>0.11716644594882433</v>
      </c>
      <c r="E26" s="450"/>
    </row>
    <row r="27" spans="1:6" ht="17.399999999999999">
      <c r="A27" s="494" t="s">
        <v>743</v>
      </c>
      <c r="B27" s="439">
        <v>44168</v>
      </c>
      <c r="C27" s="370">
        <v>5.0999999999999997E-2</v>
      </c>
      <c r="D27" s="473">
        <f t="shared" si="1"/>
        <v>0.1022587307026236</v>
      </c>
      <c r="E27" s="450"/>
    </row>
    <row r="28" spans="1:6" ht="17.399999999999999">
      <c r="A28" s="493" t="s">
        <v>744</v>
      </c>
      <c r="B28" s="111">
        <v>35488</v>
      </c>
      <c r="C28" s="371">
        <v>4.1000000000000002E-2</v>
      </c>
      <c r="D28" s="247">
        <f t="shared" si="1"/>
        <v>8.2162602680101129E-2</v>
      </c>
      <c r="E28" s="450"/>
    </row>
    <row r="29" spans="1:6" ht="17.399999999999999">
      <c r="A29" s="494" t="s">
        <v>745</v>
      </c>
      <c r="B29" s="439">
        <v>33964</v>
      </c>
      <c r="C29" s="370">
        <v>0.04</v>
      </c>
      <c r="D29" s="473">
        <f t="shared" si="1"/>
        <v>7.8634204165547644E-2</v>
      </c>
      <c r="E29" s="450"/>
    </row>
    <row r="30" spans="1:6" ht="17.399999999999999">
      <c r="A30" s="493" t="s">
        <v>746</v>
      </c>
      <c r="B30" s="111">
        <v>25439</v>
      </c>
      <c r="C30" s="371">
        <v>0.03</v>
      </c>
      <c r="D30" s="247">
        <f t="shared" si="1"/>
        <v>5.8896935571998779E-2</v>
      </c>
      <c r="E30" s="450"/>
    </row>
    <row r="31" spans="1:6" ht="17.399999999999999">
      <c r="A31" s="494" t="s">
        <v>747</v>
      </c>
      <c r="B31" s="439">
        <v>23866</v>
      </c>
      <c r="C31" s="370">
        <v>2.8000000000000001E-2</v>
      </c>
      <c r="D31" s="473">
        <f t="shared" si="1"/>
        <v>5.5255091173447179E-2</v>
      </c>
      <c r="E31" s="450"/>
    </row>
    <row r="32" spans="1:6" ht="17.399999999999999">
      <c r="A32" s="493" t="s">
        <v>714</v>
      </c>
      <c r="B32" s="111">
        <v>23377</v>
      </c>
      <c r="C32" s="371">
        <v>2.7E-2</v>
      </c>
      <c r="D32" s="247">
        <f t="shared" si="1"/>
        <v>5.4122947555588483E-2</v>
      </c>
      <c r="E32" s="450"/>
    </row>
    <row r="33" spans="1:6" ht="17.399999999999999">
      <c r="A33" s="494" t="s">
        <v>748</v>
      </c>
      <c r="B33" s="439">
        <v>19561</v>
      </c>
      <c r="C33" s="370">
        <v>2.3E-2</v>
      </c>
      <c r="D33" s="473">
        <f t="shared" si="1"/>
        <v>4.5288059936470303E-2</v>
      </c>
      <c r="E33" s="450"/>
    </row>
    <row r="34" spans="1:6" ht="17.399999999999999">
      <c r="A34" s="493" t="s">
        <v>717</v>
      </c>
      <c r="B34" s="111">
        <v>17100</v>
      </c>
      <c r="C34" s="371">
        <v>0.02</v>
      </c>
      <c r="D34" s="247">
        <f t="shared" si="1"/>
        <v>3.9590298293218251E-2</v>
      </c>
      <c r="E34" s="450"/>
    </row>
    <row r="35" spans="1:6" ht="17.399999999999999">
      <c r="A35" s="494" t="s">
        <v>749</v>
      </c>
      <c r="B35" s="439">
        <v>9821</v>
      </c>
      <c r="C35" s="370">
        <v>1.0999999999999999E-2</v>
      </c>
      <c r="D35" s="473">
        <f t="shared" si="1"/>
        <v>2.2737796464192776E-2</v>
      </c>
      <c r="E35" s="450"/>
    </row>
    <row r="36" spans="1:6" ht="17.399999999999999">
      <c r="A36" s="493" t="s">
        <v>750</v>
      </c>
      <c r="B36" s="111">
        <v>7750</v>
      </c>
      <c r="C36" s="371">
        <v>8.9999999999999993E-3</v>
      </c>
      <c r="D36" s="247">
        <f t="shared" si="1"/>
        <v>1.7942971448680786E-2</v>
      </c>
      <c r="E36" s="450"/>
    </row>
    <row r="37" spans="1:6" ht="17.399999999999999">
      <c r="A37" s="494" t="s">
        <v>751</v>
      </c>
      <c r="B37" s="439">
        <v>7376</v>
      </c>
      <c r="C37" s="370">
        <v>8.9999999999999993E-3</v>
      </c>
      <c r="D37" s="473">
        <f t="shared" si="1"/>
        <v>1.7077078374899288E-2</v>
      </c>
      <c r="E37" s="450"/>
    </row>
    <row r="38" spans="1:6" ht="18" thickBot="1">
      <c r="A38" s="495" t="s">
        <v>752</v>
      </c>
      <c r="B38" s="426">
        <v>6141</v>
      </c>
      <c r="C38" s="372">
        <v>7.0000000000000001E-3</v>
      </c>
      <c r="D38" s="256">
        <f t="shared" si="1"/>
        <v>1.4217779053722414E-2</v>
      </c>
      <c r="E38" s="450"/>
    </row>
    <row r="39" spans="1:6">
      <c r="A39" s="505" t="s">
        <v>56</v>
      </c>
      <c r="B39" s="112">
        <f>SUM(B24:B38)</f>
        <v>431924</v>
      </c>
      <c r="C39" s="371"/>
      <c r="D39" s="247">
        <f t="shared" si="1"/>
        <v>1</v>
      </c>
    </row>
    <row r="40" spans="1:6">
      <c r="A40" s="505" t="s">
        <v>1</v>
      </c>
      <c r="B40" s="112">
        <v>425890</v>
      </c>
      <c r="C40" s="371">
        <v>0.496</v>
      </c>
      <c r="D40" s="251"/>
    </row>
    <row r="41" spans="1:6">
      <c r="A41" s="506" t="s">
        <v>78</v>
      </c>
      <c r="B41" s="113">
        <v>242</v>
      </c>
      <c r="C41" s="373">
        <v>1E-3</v>
      </c>
      <c r="D41" s="253"/>
    </row>
    <row r="45" spans="1:6" ht="28.5" customHeight="1">
      <c r="A45" s="701" t="s">
        <v>47</v>
      </c>
      <c r="B45" s="702"/>
      <c r="C45" s="702"/>
      <c r="D45" s="703"/>
      <c r="F45" s="56"/>
    </row>
    <row r="46" spans="1:6">
      <c r="A46" s="509" t="s">
        <v>10</v>
      </c>
    </row>
    <row r="48" spans="1:6" ht="32.4">
      <c r="A48" s="513" t="s">
        <v>8</v>
      </c>
      <c r="B48" s="80" t="s">
        <v>4</v>
      </c>
      <c r="C48" s="102" t="s">
        <v>149</v>
      </c>
      <c r="D48" s="103" t="s">
        <v>148</v>
      </c>
      <c r="F48" s="56"/>
    </row>
    <row r="49" spans="1:6" ht="17.399999999999999">
      <c r="A49" s="493" t="s">
        <v>753</v>
      </c>
      <c r="B49" s="129">
        <v>147725</v>
      </c>
      <c r="C49" s="290">
        <v>0.371</v>
      </c>
      <c r="D49" s="243">
        <f>B49/267191</f>
        <v>0.55288164646264282</v>
      </c>
      <c r="E49" s="450"/>
    </row>
    <row r="50" spans="1:6" ht="18" thickBot="1">
      <c r="A50" s="508" t="s">
        <v>736</v>
      </c>
      <c r="B50" s="427">
        <v>119466</v>
      </c>
      <c r="C50" s="344">
        <v>0.3</v>
      </c>
      <c r="D50" s="250">
        <f>B50/267191</f>
        <v>0.44711835353735718</v>
      </c>
      <c r="E50" s="450"/>
    </row>
    <row r="51" spans="1:6">
      <c r="A51" s="505" t="s">
        <v>56</v>
      </c>
      <c r="B51" s="112">
        <f>SUM(B49:B50)</f>
        <v>267191</v>
      </c>
      <c r="C51" s="293"/>
      <c r="D51" s="247">
        <f>B51/267191</f>
        <v>1</v>
      </c>
    </row>
    <row r="52" spans="1:6">
      <c r="A52" s="505" t="s">
        <v>1</v>
      </c>
      <c r="B52" s="112">
        <v>131313</v>
      </c>
      <c r="C52" s="293">
        <v>0.32900000000000001</v>
      </c>
      <c r="D52" s="251"/>
    </row>
    <row r="53" spans="1:6">
      <c r="A53" s="506" t="s">
        <v>78</v>
      </c>
      <c r="B53" s="113">
        <v>153</v>
      </c>
      <c r="C53" s="294">
        <v>0</v>
      </c>
      <c r="D53" s="253"/>
    </row>
    <row r="56" spans="1:6" ht="32.4">
      <c r="A56" s="507" t="s">
        <v>3</v>
      </c>
      <c r="B56" s="80" t="s">
        <v>4</v>
      </c>
      <c r="C56" s="102" t="s">
        <v>149</v>
      </c>
      <c r="D56" s="103" t="s">
        <v>148</v>
      </c>
      <c r="F56" s="56"/>
    </row>
    <row r="57" spans="1:6" ht="17.399999999999999">
      <c r="A57" s="493" t="s">
        <v>679</v>
      </c>
      <c r="B57" s="129">
        <v>121971</v>
      </c>
      <c r="C57" s="290">
        <v>0.30599999999999999</v>
      </c>
      <c r="D57" s="243">
        <f>B57/220775</f>
        <v>0.5524674442305515</v>
      </c>
      <c r="E57" s="450"/>
    </row>
    <row r="58" spans="1:6" ht="18" thickBot="1">
      <c r="A58" s="508" t="s">
        <v>681</v>
      </c>
      <c r="B58" s="427">
        <v>98804</v>
      </c>
      <c r="C58" s="344">
        <v>0.248</v>
      </c>
      <c r="D58" s="250">
        <f>B58/220775</f>
        <v>0.44753255576944856</v>
      </c>
      <c r="E58" s="450"/>
    </row>
    <row r="59" spans="1:6">
      <c r="A59" s="505" t="s">
        <v>56</v>
      </c>
      <c r="B59" s="112">
        <f>SUM(B57:B58)</f>
        <v>220775</v>
      </c>
      <c r="C59" s="293"/>
      <c r="D59" s="247">
        <f>B59/220775</f>
        <v>1</v>
      </c>
    </row>
    <row r="60" spans="1:6">
      <c r="A60" s="505" t="s">
        <v>1</v>
      </c>
      <c r="B60" s="112">
        <v>177766</v>
      </c>
      <c r="C60" s="293">
        <v>0.44600000000000001</v>
      </c>
      <c r="D60" s="251"/>
    </row>
    <row r="61" spans="1:6">
      <c r="A61" s="506" t="s">
        <v>78</v>
      </c>
      <c r="B61" s="113">
        <v>116</v>
      </c>
      <c r="C61" s="294">
        <v>0</v>
      </c>
      <c r="D61" s="253"/>
    </row>
    <row r="64" spans="1:6" ht="32.4">
      <c r="A64" s="513" t="s">
        <v>9</v>
      </c>
      <c r="B64" s="80" t="s">
        <v>4</v>
      </c>
      <c r="C64" s="102" t="s">
        <v>149</v>
      </c>
      <c r="D64" s="103" t="s">
        <v>148</v>
      </c>
      <c r="F64" s="56"/>
    </row>
    <row r="65" spans="1:5" ht="17.399999999999999">
      <c r="A65" s="493" t="s">
        <v>754</v>
      </c>
      <c r="B65" s="129">
        <v>147025</v>
      </c>
      <c r="C65" s="290">
        <v>0.123</v>
      </c>
      <c r="D65" s="243">
        <f>B65/665825</f>
        <v>0.22081628055419969</v>
      </c>
      <c r="E65" s="450"/>
    </row>
    <row r="66" spans="1:5" ht="17.399999999999999">
      <c r="A66" s="514" t="s">
        <v>723</v>
      </c>
      <c r="B66" s="425">
        <v>116354</v>
      </c>
      <c r="C66" s="291">
        <v>9.7000000000000003E-2</v>
      </c>
      <c r="D66" s="245">
        <f t="shared" ref="D66:D71" si="2">B66/665825</f>
        <v>0.17475162392520557</v>
      </c>
      <c r="E66" s="450"/>
    </row>
    <row r="67" spans="1:5" ht="17.399999999999999">
      <c r="A67" s="493" t="s">
        <v>755</v>
      </c>
      <c r="B67" s="111">
        <v>106131</v>
      </c>
      <c r="C67" s="293">
        <v>8.8999999999999996E-2</v>
      </c>
      <c r="D67" s="247">
        <f t="shared" si="2"/>
        <v>0.15939773964630347</v>
      </c>
      <c r="E67" s="450"/>
    </row>
    <row r="68" spans="1:5" ht="17.399999999999999">
      <c r="A68" s="514" t="s">
        <v>756</v>
      </c>
      <c r="B68" s="425">
        <v>103611</v>
      </c>
      <c r="C68" s="291">
        <v>8.6999999999999994E-2</v>
      </c>
      <c r="D68" s="245">
        <f t="shared" si="2"/>
        <v>0.15561296136372169</v>
      </c>
      <c r="E68" s="450"/>
    </row>
    <row r="69" spans="1:5" ht="17.399999999999999">
      <c r="A69" s="493" t="s">
        <v>224</v>
      </c>
      <c r="B69" s="111">
        <v>101196</v>
      </c>
      <c r="C69" s="293">
        <v>8.5000000000000006E-2</v>
      </c>
      <c r="D69" s="247">
        <f t="shared" si="2"/>
        <v>0.15198588217624751</v>
      </c>
      <c r="E69" s="450"/>
    </row>
    <row r="70" spans="1:5" ht="18" thickBot="1">
      <c r="A70" s="508" t="s">
        <v>757</v>
      </c>
      <c r="B70" s="427">
        <v>91508</v>
      </c>
      <c r="C70" s="344">
        <v>7.6999999999999999E-2</v>
      </c>
      <c r="D70" s="250">
        <f t="shared" si="2"/>
        <v>0.13743551233432208</v>
      </c>
      <c r="E70" s="450"/>
    </row>
    <row r="71" spans="1:5">
      <c r="A71" s="505" t="s">
        <v>56</v>
      </c>
      <c r="B71" s="112">
        <f>SUM(B65:B70)</f>
        <v>665825</v>
      </c>
      <c r="C71" s="293"/>
      <c r="D71" s="247">
        <f t="shared" si="2"/>
        <v>1</v>
      </c>
    </row>
    <row r="72" spans="1:5">
      <c r="A72" s="505" t="s">
        <v>1</v>
      </c>
      <c r="B72" s="112">
        <v>529657</v>
      </c>
      <c r="C72" s="293">
        <v>0.443</v>
      </c>
      <c r="D72" s="251"/>
    </row>
    <row r="73" spans="1:5">
      <c r="A73" s="506" t="s">
        <v>78</v>
      </c>
      <c r="B73" s="113">
        <v>163</v>
      </c>
      <c r="C73" s="294">
        <v>0</v>
      </c>
      <c r="D73" s="253"/>
    </row>
    <row r="76" spans="1:5" ht="38.25" customHeight="1">
      <c r="A76" s="687" t="s">
        <v>75</v>
      </c>
      <c r="B76" s="687"/>
      <c r="C76" s="687"/>
      <c r="D76" s="687"/>
    </row>
  </sheetData>
  <mergeCells count="3">
    <mergeCell ref="A2:D2"/>
    <mergeCell ref="A45:D45"/>
    <mergeCell ref="A76:D76"/>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60"/>
  <sheetViews>
    <sheetView topLeftCell="A7" workbookViewId="0">
      <selection activeCell="F15" sqref="F15"/>
    </sheetView>
  </sheetViews>
  <sheetFormatPr defaultColWidth="9" defaultRowHeight="13.8"/>
  <cols>
    <col min="1" max="1" width="36.59765625" style="501" customWidth="1"/>
    <col min="2" max="2" width="10.59765625" style="74" customWidth="1"/>
    <col min="3" max="3" width="10.59765625" style="83" customWidth="1"/>
    <col min="4" max="4" width="10.59765625" style="84" customWidth="1"/>
    <col min="5" max="16384" width="9" style="9"/>
  </cols>
  <sheetData>
    <row r="2" spans="1:6" ht="29.25" customHeight="1">
      <c r="A2" s="691" t="s">
        <v>117</v>
      </c>
      <c r="B2" s="692"/>
      <c r="C2" s="692"/>
      <c r="D2" s="693"/>
    </row>
    <row r="3" spans="1:6">
      <c r="A3" s="496">
        <v>42595</v>
      </c>
    </row>
    <row r="4" spans="1:6">
      <c r="A4" s="497"/>
    </row>
    <row r="5" spans="1:6" ht="32.4">
      <c r="A5" s="498" t="s">
        <v>5</v>
      </c>
      <c r="B5" s="75" t="s">
        <v>4</v>
      </c>
      <c r="C5" s="85" t="s">
        <v>149</v>
      </c>
      <c r="D5" s="86" t="s">
        <v>148</v>
      </c>
      <c r="F5" s="56"/>
    </row>
    <row r="6" spans="1:6" ht="17.399999999999999">
      <c r="A6" s="516" t="s">
        <v>726</v>
      </c>
      <c r="B6" s="418">
        <v>60856</v>
      </c>
      <c r="C6" s="317">
        <v>0.24099999999999999</v>
      </c>
      <c r="D6" s="96">
        <f>B6/116186</f>
        <v>0.52378083417967747</v>
      </c>
      <c r="E6" s="450"/>
      <c r="F6" s="3" t="s">
        <v>146</v>
      </c>
    </row>
    <row r="7" spans="1:6" ht="17.399999999999999">
      <c r="A7" s="517" t="s">
        <v>727</v>
      </c>
      <c r="B7" s="430">
        <v>35074</v>
      </c>
      <c r="C7" s="351">
        <v>0.13900000000000001</v>
      </c>
      <c r="D7" s="346">
        <f t="shared" ref="D7:D9" si="0">B7/116186</f>
        <v>0.30187802316974505</v>
      </c>
      <c r="E7" s="450"/>
    </row>
    <row r="8" spans="1:6" ht="18" thickBot="1">
      <c r="A8" s="518" t="s">
        <v>728</v>
      </c>
      <c r="B8" s="421">
        <v>20256</v>
      </c>
      <c r="C8" s="357">
        <v>0.08</v>
      </c>
      <c r="D8" s="89">
        <f t="shared" si="0"/>
        <v>0.17434114265057751</v>
      </c>
      <c r="E8" s="450"/>
    </row>
    <row r="9" spans="1:6">
      <c r="A9" s="505" t="s">
        <v>56</v>
      </c>
      <c r="B9" s="114">
        <f>SUM(B6:B8)</f>
        <v>116186</v>
      </c>
      <c r="C9" s="319"/>
      <c r="D9" s="101">
        <f t="shared" si="0"/>
        <v>1</v>
      </c>
    </row>
    <row r="10" spans="1:6">
      <c r="A10" s="505" t="s">
        <v>1</v>
      </c>
      <c r="B10" s="114">
        <v>136503</v>
      </c>
      <c r="C10" s="319">
        <v>0.54</v>
      </c>
      <c r="D10" s="92"/>
    </row>
    <row r="11" spans="1:6">
      <c r="A11" s="506" t="s">
        <v>78</v>
      </c>
      <c r="B11" s="115">
        <v>36</v>
      </c>
      <c r="C11" s="321">
        <v>0</v>
      </c>
      <c r="D11" s="93"/>
    </row>
    <row r="12" spans="1:6">
      <c r="D12" s="94"/>
    </row>
    <row r="14" spans="1:6" ht="32.4">
      <c r="A14" s="519" t="s">
        <v>2</v>
      </c>
      <c r="B14" s="75" t="s">
        <v>4</v>
      </c>
      <c r="C14" s="85" t="s">
        <v>149</v>
      </c>
      <c r="D14" s="86" t="s">
        <v>148</v>
      </c>
      <c r="F14" s="56"/>
    </row>
    <row r="15" spans="1:6" ht="17.399999999999999">
      <c r="A15" s="520" t="s">
        <v>729</v>
      </c>
      <c r="B15" s="116"/>
      <c r="C15" s="358"/>
      <c r="D15" s="359"/>
      <c r="E15" s="450"/>
      <c r="F15" s="9" t="s">
        <v>139</v>
      </c>
    </row>
    <row r="16" spans="1:6">
      <c r="A16" s="502"/>
    </row>
    <row r="18" spans="1:6" ht="32.4">
      <c r="A18" s="498" t="s">
        <v>6</v>
      </c>
      <c r="B18" s="75" t="s">
        <v>4</v>
      </c>
      <c r="C18" s="85" t="s">
        <v>149</v>
      </c>
      <c r="D18" s="86" t="s">
        <v>148</v>
      </c>
      <c r="F18" s="56"/>
    </row>
    <row r="19" spans="1:6" ht="17.399999999999999">
      <c r="A19" s="516" t="s">
        <v>552</v>
      </c>
      <c r="B19" s="418">
        <v>66131</v>
      </c>
      <c r="C19" s="317">
        <v>0.26200000000000001</v>
      </c>
      <c r="D19" s="96">
        <f>B19/150007</f>
        <v>0.4408527602045238</v>
      </c>
      <c r="E19" s="450"/>
    </row>
    <row r="20" spans="1:6" ht="17.399999999999999">
      <c r="A20" s="517" t="s">
        <v>730</v>
      </c>
      <c r="B20" s="430">
        <v>62916</v>
      </c>
      <c r="C20" s="351">
        <v>0.249</v>
      </c>
      <c r="D20" s="346">
        <f t="shared" ref="D20:D22" si="1">B20/150007</f>
        <v>0.41942042704673782</v>
      </c>
      <c r="E20" s="450"/>
    </row>
    <row r="21" spans="1:6" ht="18" thickBot="1">
      <c r="A21" s="518" t="s">
        <v>731</v>
      </c>
      <c r="B21" s="421">
        <v>20960</v>
      </c>
      <c r="C21" s="357">
        <v>8.3000000000000004E-2</v>
      </c>
      <c r="D21" s="89">
        <f t="shared" si="1"/>
        <v>0.13972681274873838</v>
      </c>
      <c r="E21" s="450"/>
    </row>
    <row r="22" spans="1:6">
      <c r="A22" s="505" t="s">
        <v>56</v>
      </c>
      <c r="B22" s="114">
        <f>SUM(B19:B21)</f>
        <v>150007</v>
      </c>
      <c r="C22" s="319"/>
      <c r="D22" s="101">
        <f t="shared" si="1"/>
        <v>1</v>
      </c>
    </row>
    <row r="23" spans="1:6">
      <c r="A23" s="505" t="s">
        <v>1</v>
      </c>
      <c r="B23" s="114">
        <v>102663</v>
      </c>
      <c r="C23" s="319">
        <v>0.40600000000000003</v>
      </c>
      <c r="D23" s="107"/>
    </row>
    <row r="24" spans="1:6">
      <c r="A24" s="506" t="s">
        <v>78</v>
      </c>
      <c r="B24" s="115">
        <v>55</v>
      </c>
      <c r="C24" s="321">
        <v>0</v>
      </c>
      <c r="D24" s="109"/>
    </row>
    <row r="25" spans="1:6">
      <c r="A25" s="497"/>
    </row>
    <row r="27" spans="1:6" ht="32.4">
      <c r="A27" s="519" t="s">
        <v>0</v>
      </c>
      <c r="B27" s="75" t="s">
        <v>4</v>
      </c>
      <c r="C27" s="85" t="s">
        <v>149</v>
      </c>
      <c r="D27" s="86" t="s">
        <v>148</v>
      </c>
      <c r="F27" s="56"/>
    </row>
    <row r="28" spans="1:6" ht="17.399999999999999">
      <c r="A28" s="516" t="s">
        <v>204</v>
      </c>
      <c r="B28" s="418">
        <v>61218</v>
      </c>
      <c r="C28" s="317">
        <v>0.24199999999999999</v>
      </c>
      <c r="D28" s="96">
        <f>B28/149006</f>
        <v>0.4108425164087352</v>
      </c>
      <c r="E28" s="450"/>
    </row>
    <row r="29" spans="1:6" ht="17.399999999999999">
      <c r="A29" s="521" t="s">
        <v>686</v>
      </c>
      <c r="B29" s="430">
        <v>32115</v>
      </c>
      <c r="C29" s="351">
        <v>0.127</v>
      </c>
      <c r="D29" s="346">
        <f t="shared" ref="D29:D35" si="2">B29/149006</f>
        <v>0.21552823376239882</v>
      </c>
      <c r="E29" s="450"/>
    </row>
    <row r="30" spans="1:6" ht="17.399999999999999">
      <c r="A30" s="516" t="s">
        <v>732</v>
      </c>
      <c r="B30" s="420">
        <v>13626</v>
      </c>
      <c r="C30" s="319">
        <v>5.3999999999999999E-2</v>
      </c>
      <c r="D30" s="101">
        <f t="shared" si="2"/>
        <v>9.1445982040991636E-2</v>
      </c>
      <c r="E30" s="450"/>
    </row>
    <row r="31" spans="1:6" ht="17.399999999999999">
      <c r="A31" s="521" t="s">
        <v>733</v>
      </c>
      <c r="B31" s="430">
        <v>12809</v>
      </c>
      <c r="C31" s="351">
        <v>5.0999999999999997E-2</v>
      </c>
      <c r="D31" s="346">
        <f t="shared" si="2"/>
        <v>8.5962981356455442E-2</v>
      </c>
      <c r="E31" s="450"/>
    </row>
    <row r="32" spans="1:6" ht="17.399999999999999">
      <c r="A32" s="516" t="s">
        <v>633</v>
      </c>
      <c r="B32" s="420">
        <v>12551</v>
      </c>
      <c r="C32" s="319">
        <v>0.05</v>
      </c>
      <c r="D32" s="101">
        <f t="shared" si="2"/>
        <v>8.4231507456075591E-2</v>
      </c>
      <c r="E32" s="450"/>
    </row>
    <row r="33" spans="1:6" ht="17.399999999999999">
      <c r="A33" s="521" t="s">
        <v>714</v>
      </c>
      <c r="B33" s="430">
        <v>10777</v>
      </c>
      <c r="C33" s="351">
        <v>4.2999999999999997E-2</v>
      </c>
      <c r="D33" s="346">
        <f t="shared" si="2"/>
        <v>7.232594660617693E-2</v>
      </c>
      <c r="E33" s="450"/>
    </row>
    <row r="34" spans="1:6" ht="18" thickBot="1">
      <c r="A34" s="518" t="s">
        <v>734</v>
      </c>
      <c r="B34" s="421">
        <v>5910</v>
      </c>
      <c r="C34" s="357">
        <v>2.3E-2</v>
      </c>
      <c r="D34" s="89">
        <f t="shared" si="2"/>
        <v>3.9662832369166345E-2</v>
      </c>
      <c r="E34" s="450"/>
    </row>
    <row r="35" spans="1:6">
      <c r="A35" s="505" t="s">
        <v>56</v>
      </c>
      <c r="B35" s="114">
        <f>SUM(B28:B34)</f>
        <v>149006</v>
      </c>
      <c r="C35" s="319"/>
      <c r="D35" s="101">
        <f t="shared" si="2"/>
        <v>1</v>
      </c>
    </row>
    <row r="36" spans="1:6">
      <c r="A36" s="505" t="s">
        <v>1</v>
      </c>
      <c r="B36" s="114">
        <v>103595</v>
      </c>
      <c r="C36" s="319">
        <v>0.41</v>
      </c>
      <c r="D36" s="107"/>
    </row>
    <row r="37" spans="1:6">
      <c r="A37" s="506" t="s">
        <v>78</v>
      </c>
      <c r="B37" s="115">
        <v>124</v>
      </c>
      <c r="C37" s="321">
        <v>0</v>
      </c>
      <c r="D37" s="109"/>
    </row>
    <row r="41" spans="1:6" ht="30" customHeight="1">
      <c r="A41" s="694" t="s">
        <v>116</v>
      </c>
      <c r="B41" s="695"/>
      <c r="C41" s="695"/>
      <c r="D41" s="696"/>
    </row>
    <row r="42" spans="1:6">
      <c r="A42" s="496">
        <v>42682</v>
      </c>
    </row>
    <row r="44" spans="1:6" ht="32.4">
      <c r="A44" s="503" t="s">
        <v>6</v>
      </c>
      <c r="B44" s="80" t="s">
        <v>4</v>
      </c>
      <c r="C44" s="102" t="s">
        <v>149</v>
      </c>
      <c r="D44" s="103" t="s">
        <v>148</v>
      </c>
      <c r="F44" s="56"/>
    </row>
    <row r="45" spans="1:6" ht="17.399999999999999">
      <c r="A45" s="493" t="s">
        <v>730</v>
      </c>
      <c r="B45" s="433">
        <v>194524</v>
      </c>
      <c r="C45" s="104">
        <v>0.44400000000000001</v>
      </c>
      <c r="D45" s="243">
        <f>B45/337023</f>
        <v>0.57718315960631772</v>
      </c>
      <c r="E45" s="450"/>
    </row>
    <row r="46" spans="1:6" ht="18" thickBot="1">
      <c r="A46" s="508" t="s">
        <v>552</v>
      </c>
      <c r="B46" s="434">
        <v>142499</v>
      </c>
      <c r="C46" s="110">
        <v>0.32600000000000001</v>
      </c>
      <c r="D46" s="250">
        <f t="shared" ref="D46:D47" si="3">B46/337023</f>
        <v>0.42281684039368234</v>
      </c>
      <c r="E46" s="450"/>
    </row>
    <row r="47" spans="1:6">
      <c r="A47" s="505" t="s">
        <v>56</v>
      </c>
      <c r="B47" s="117">
        <f>SUM(B45:B46)</f>
        <v>337023</v>
      </c>
      <c r="C47" s="106"/>
      <c r="D47" s="247">
        <f t="shared" si="3"/>
        <v>1</v>
      </c>
    </row>
    <row r="48" spans="1:6">
      <c r="A48" s="505" t="s">
        <v>1</v>
      </c>
      <c r="B48" s="117">
        <v>100464</v>
      </c>
      <c r="C48" s="106">
        <v>0.23</v>
      </c>
      <c r="D48" s="107"/>
    </row>
    <row r="49" spans="1:6">
      <c r="A49" s="506" t="s">
        <v>78</v>
      </c>
      <c r="B49" s="118">
        <v>177</v>
      </c>
      <c r="C49" s="108">
        <v>0</v>
      </c>
      <c r="D49" s="109"/>
    </row>
    <row r="52" spans="1:6" ht="32.4">
      <c r="A52" s="507" t="s">
        <v>7</v>
      </c>
      <c r="B52" s="80" t="s">
        <v>4</v>
      </c>
      <c r="C52" s="102" t="s">
        <v>149</v>
      </c>
      <c r="D52" s="103" t="s">
        <v>148</v>
      </c>
      <c r="F52" s="56"/>
    </row>
    <row r="53" spans="1:6" ht="17.399999999999999">
      <c r="A53" s="493" t="s">
        <v>686</v>
      </c>
      <c r="B53" s="433">
        <v>163743</v>
      </c>
      <c r="C53" s="104">
        <v>0.374</v>
      </c>
      <c r="D53" s="243">
        <f>B53/319936</f>
        <v>0.51179923484696943</v>
      </c>
      <c r="E53" s="450"/>
    </row>
    <row r="54" spans="1:6" ht="18" thickBot="1">
      <c r="A54" s="508" t="s">
        <v>204</v>
      </c>
      <c r="B54" s="434">
        <v>156193</v>
      </c>
      <c r="C54" s="110">
        <v>0.35699999999999998</v>
      </c>
      <c r="D54" s="250">
        <f t="shared" ref="D54:D55" si="4">B54/319936</f>
        <v>0.48820076515303062</v>
      </c>
      <c r="E54" s="450"/>
    </row>
    <row r="55" spans="1:6">
      <c r="A55" s="505" t="s">
        <v>56</v>
      </c>
      <c r="B55" s="117">
        <f>SUM(B53:B54)</f>
        <v>319936</v>
      </c>
      <c r="C55" s="106"/>
      <c r="D55" s="247">
        <f t="shared" si="4"/>
        <v>1</v>
      </c>
    </row>
    <row r="56" spans="1:6">
      <c r="A56" s="505" t="s">
        <v>1</v>
      </c>
      <c r="B56" s="117">
        <v>117600</v>
      </c>
      <c r="C56" s="106">
        <v>0.26900000000000002</v>
      </c>
      <c r="D56" s="107"/>
    </row>
    <row r="57" spans="1:6">
      <c r="A57" s="506" t="s">
        <v>78</v>
      </c>
      <c r="B57" s="118">
        <v>128</v>
      </c>
      <c r="C57" s="108">
        <v>0</v>
      </c>
      <c r="D57" s="109"/>
    </row>
    <row r="60" spans="1:6" ht="38.25" customHeight="1">
      <c r="A60" s="704" t="s">
        <v>76</v>
      </c>
      <c r="B60" s="704"/>
      <c r="C60" s="704"/>
      <c r="D60" s="704"/>
    </row>
  </sheetData>
  <mergeCells count="3">
    <mergeCell ref="A41:D41"/>
    <mergeCell ref="A2:D2"/>
    <mergeCell ref="A60:D60"/>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78"/>
  <sheetViews>
    <sheetView topLeftCell="A52" workbookViewId="0">
      <selection activeCell="E10" sqref="E10"/>
    </sheetView>
  </sheetViews>
  <sheetFormatPr defaultColWidth="9" defaultRowHeight="13.8"/>
  <cols>
    <col min="1" max="1" width="35.796875" style="501" customWidth="1"/>
    <col min="2" max="2" width="10.59765625" style="119" customWidth="1"/>
    <col min="3" max="3" width="10.59765625" style="257" customWidth="1"/>
    <col min="4" max="4" width="10.59765625" style="84" customWidth="1"/>
    <col min="5" max="16384" width="9" style="9"/>
  </cols>
  <sheetData>
    <row r="2" spans="1:6" ht="30" customHeight="1">
      <c r="A2" s="705" t="s">
        <v>115</v>
      </c>
      <c r="B2" s="706"/>
      <c r="C2" s="706"/>
      <c r="D2" s="707"/>
    </row>
    <row r="3" spans="1:6">
      <c r="A3" s="496">
        <v>41860</v>
      </c>
    </row>
    <row r="5" spans="1:6" ht="27.75" customHeight="1">
      <c r="A5" s="708" t="s">
        <v>57</v>
      </c>
      <c r="B5" s="708"/>
      <c r="C5" s="708"/>
      <c r="D5" s="708"/>
    </row>
    <row r="6" spans="1:6" ht="14.4" thickBot="1"/>
    <row r="7" spans="1:6" ht="29.55" customHeight="1" thickTop="1">
      <c r="A7" s="709" t="s">
        <v>39</v>
      </c>
      <c r="B7" s="710"/>
      <c r="C7" s="710"/>
      <c r="D7" s="711"/>
    </row>
    <row r="8" spans="1:6" ht="28.5" customHeight="1">
      <c r="A8" s="712" t="s">
        <v>40</v>
      </c>
      <c r="B8" s="713"/>
      <c r="C8" s="713"/>
      <c r="D8" s="714"/>
    </row>
    <row r="9" spans="1:6">
      <c r="A9" s="712" t="s">
        <v>41</v>
      </c>
      <c r="B9" s="713"/>
      <c r="C9" s="713"/>
      <c r="D9" s="714"/>
    </row>
    <row r="10" spans="1:6" ht="130.5" customHeight="1">
      <c r="A10" s="712" t="s">
        <v>42</v>
      </c>
      <c r="B10" s="713"/>
      <c r="C10" s="713"/>
      <c r="D10" s="714"/>
    </row>
    <row r="11" spans="1:6" ht="32.25" customHeight="1">
      <c r="A11" s="712" t="s">
        <v>43</v>
      </c>
      <c r="B11" s="713"/>
      <c r="C11" s="713"/>
      <c r="D11" s="714"/>
    </row>
    <row r="12" spans="1:6">
      <c r="A12" s="712" t="s">
        <v>44</v>
      </c>
      <c r="B12" s="713"/>
      <c r="C12" s="713"/>
      <c r="D12" s="714"/>
    </row>
    <row r="13" spans="1:6" ht="24.75" customHeight="1" thickBot="1">
      <c r="A13" s="715" t="s">
        <v>45</v>
      </c>
      <c r="B13" s="716"/>
      <c r="C13" s="716"/>
      <c r="D13" s="717"/>
    </row>
    <row r="14" spans="1:6" ht="14.4" thickTop="1"/>
    <row r="16" spans="1:6" ht="32.4">
      <c r="A16" s="498" t="s">
        <v>8</v>
      </c>
      <c r="B16" s="75" t="s">
        <v>4</v>
      </c>
      <c r="C16" s="85" t="s">
        <v>149</v>
      </c>
      <c r="D16" s="86" t="s">
        <v>148</v>
      </c>
      <c r="E16" s="15"/>
      <c r="F16" s="56"/>
    </row>
    <row r="17" spans="1:6" ht="17.399999999999999">
      <c r="A17" s="516" t="s">
        <v>702</v>
      </c>
      <c r="B17" s="385">
        <v>92388</v>
      </c>
      <c r="C17" s="336">
        <v>0.31900000000000001</v>
      </c>
      <c r="D17" s="96">
        <f>B17/166416</f>
        <v>0.55516296509950969</v>
      </c>
      <c r="E17" s="450"/>
      <c r="F17" s="9" t="s">
        <v>141</v>
      </c>
    </row>
    <row r="18" spans="1:6" ht="17.399999999999999">
      <c r="A18" s="517" t="s">
        <v>703</v>
      </c>
      <c r="B18" s="428">
        <v>26463</v>
      </c>
      <c r="C18" s="345">
        <v>9.0999999999999998E-2</v>
      </c>
      <c r="D18" s="346">
        <f t="shared" ref="D18:D21" si="0">B18/166416</f>
        <v>0.1590171618113643</v>
      </c>
      <c r="E18" s="450"/>
    </row>
    <row r="19" spans="1:6" ht="17.399999999999999">
      <c r="A19" s="516" t="s">
        <v>660</v>
      </c>
      <c r="B19" s="387">
        <v>25343</v>
      </c>
      <c r="C19" s="347">
        <v>8.7999999999999995E-2</v>
      </c>
      <c r="D19" s="101">
        <f t="shared" si="0"/>
        <v>0.15228703970772042</v>
      </c>
      <c r="E19" s="450"/>
    </row>
    <row r="20" spans="1:6" ht="18" thickBot="1">
      <c r="A20" s="522" t="s">
        <v>704</v>
      </c>
      <c r="B20" s="429">
        <v>22222</v>
      </c>
      <c r="C20" s="348">
        <v>7.6999999999999999E-2</v>
      </c>
      <c r="D20" s="349">
        <f t="shared" si="0"/>
        <v>0.13353283338140565</v>
      </c>
      <c r="E20" s="450"/>
    </row>
    <row r="21" spans="1:6">
      <c r="A21" s="505" t="s">
        <v>56</v>
      </c>
      <c r="B21" s="120">
        <f>SUM(B17:B20)</f>
        <v>166416</v>
      </c>
      <c r="C21" s="347"/>
      <c r="D21" s="101">
        <f t="shared" si="0"/>
        <v>1</v>
      </c>
    </row>
    <row r="22" spans="1:6">
      <c r="A22" s="505" t="s">
        <v>1</v>
      </c>
      <c r="B22" s="120">
        <v>122850</v>
      </c>
      <c r="C22" s="347">
        <v>0.42499999999999999</v>
      </c>
      <c r="D22" s="107"/>
    </row>
    <row r="23" spans="1:6">
      <c r="A23" s="506" t="s">
        <v>78</v>
      </c>
      <c r="B23" s="121">
        <v>100</v>
      </c>
      <c r="C23" s="350">
        <v>0</v>
      </c>
      <c r="D23" s="109"/>
    </row>
    <row r="24" spans="1:6">
      <c r="A24" s="497"/>
    </row>
    <row r="26" spans="1:6" ht="32.4">
      <c r="A26" s="498" t="s">
        <v>0</v>
      </c>
      <c r="B26" s="75" t="s">
        <v>4</v>
      </c>
      <c r="C26" s="85" t="s">
        <v>149</v>
      </c>
      <c r="D26" s="86" t="s">
        <v>148</v>
      </c>
      <c r="E26" s="15"/>
      <c r="F26" s="56"/>
    </row>
    <row r="27" spans="1:6" ht="17.399999999999999">
      <c r="A27" s="516" t="s">
        <v>705</v>
      </c>
      <c r="B27" s="418">
        <v>82088</v>
      </c>
      <c r="C27" s="317">
        <v>9.5000000000000001E-2</v>
      </c>
      <c r="D27" s="96">
        <f>B27/478162</f>
        <v>0.17167403515963209</v>
      </c>
      <c r="E27" s="450"/>
      <c r="F27" s="3" t="s">
        <v>142</v>
      </c>
    </row>
    <row r="28" spans="1:6" ht="17.399999999999999">
      <c r="A28" s="517" t="s">
        <v>706</v>
      </c>
      <c r="B28" s="430">
        <v>63293</v>
      </c>
      <c r="C28" s="351">
        <v>7.2999999999999995E-2</v>
      </c>
      <c r="D28" s="346">
        <f t="shared" ref="D28:D43" si="1">B28/478162</f>
        <v>0.13236727301625809</v>
      </c>
      <c r="E28" s="450"/>
    </row>
    <row r="29" spans="1:6" ht="17.399999999999999">
      <c r="A29" s="516" t="s">
        <v>707</v>
      </c>
      <c r="B29" s="420">
        <v>58179</v>
      </c>
      <c r="C29" s="319">
        <v>6.7000000000000004E-2</v>
      </c>
      <c r="D29" s="101">
        <f t="shared" si="1"/>
        <v>0.12167215295234669</v>
      </c>
      <c r="E29" s="450"/>
    </row>
    <row r="30" spans="1:6" ht="17.399999999999999">
      <c r="A30" s="517" t="s">
        <v>708</v>
      </c>
      <c r="B30" s="430">
        <v>51819</v>
      </c>
      <c r="C30" s="351">
        <v>0.06</v>
      </c>
      <c r="D30" s="346">
        <f t="shared" si="1"/>
        <v>0.10837122146887457</v>
      </c>
      <c r="E30" s="450"/>
    </row>
    <row r="31" spans="1:6" ht="17.399999999999999">
      <c r="A31" s="516" t="s">
        <v>709</v>
      </c>
      <c r="B31" s="420">
        <v>34656</v>
      </c>
      <c r="C31" s="319">
        <v>0.04</v>
      </c>
      <c r="D31" s="101">
        <f t="shared" si="1"/>
        <v>7.2477528536353794E-2</v>
      </c>
      <c r="E31" s="450"/>
    </row>
    <row r="32" spans="1:6" ht="17.399999999999999">
      <c r="A32" s="517" t="s">
        <v>710</v>
      </c>
      <c r="B32" s="430">
        <v>30368</v>
      </c>
      <c r="C32" s="351">
        <v>3.5000000000000003E-2</v>
      </c>
      <c r="D32" s="346">
        <f t="shared" si="1"/>
        <v>6.3509856492151198E-2</v>
      </c>
      <c r="E32" s="450"/>
    </row>
    <row r="33" spans="1:6" ht="17.399999999999999">
      <c r="A33" s="516" t="s">
        <v>711</v>
      </c>
      <c r="B33" s="420">
        <v>27113</v>
      </c>
      <c r="C33" s="319">
        <v>3.1E-2</v>
      </c>
      <c r="D33" s="101">
        <f t="shared" si="1"/>
        <v>5.6702540143298716E-2</v>
      </c>
      <c r="E33" s="450"/>
    </row>
    <row r="34" spans="1:6" ht="17.399999999999999">
      <c r="A34" s="517" t="s">
        <v>633</v>
      </c>
      <c r="B34" s="430">
        <v>23048</v>
      </c>
      <c r="C34" s="351">
        <v>2.7E-2</v>
      </c>
      <c r="D34" s="346">
        <f t="shared" si="1"/>
        <v>4.8201237237588936E-2</v>
      </c>
      <c r="E34" s="450"/>
    </row>
    <row r="35" spans="1:6" ht="17.399999999999999">
      <c r="A35" s="516" t="s">
        <v>712</v>
      </c>
      <c r="B35" s="420">
        <v>20556</v>
      </c>
      <c r="C35" s="319">
        <v>2.4E-2</v>
      </c>
      <c r="D35" s="101">
        <f t="shared" si="1"/>
        <v>4.2989614398467463E-2</v>
      </c>
      <c r="E35" s="450"/>
    </row>
    <row r="36" spans="1:6" ht="17.399999999999999">
      <c r="A36" s="517" t="s">
        <v>713</v>
      </c>
      <c r="B36" s="430">
        <v>19349</v>
      </c>
      <c r="C36" s="351">
        <v>2.1999999999999999E-2</v>
      </c>
      <c r="D36" s="346">
        <f t="shared" si="1"/>
        <v>4.0465365294607265E-2</v>
      </c>
      <c r="E36" s="450"/>
    </row>
    <row r="37" spans="1:6" ht="17.399999999999999">
      <c r="A37" s="516" t="s">
        <v>714</v>
      </c>
      <c r="B37" s="420">
        <v>18913</v>
      </c>
      <c r="C37" s="319">
        <v>2.1999999999999999E-2</v>
      </c>
      <c r="D37" s="101">
        <f t="shared" si="1"/>
        <v>3.955354043190383E-2</v>
      </c>
      <c r="E37" s="450"/>
    </row>
    <row r="38" spans="1:6" ht="17.399999999999999">
      <c r="A38" s="517" t="s">
        <v>715</v>
      </c>
      <c r="B38" s="430">
        <v>13344</v>
      </c>
      <c r="C38" s="351">
        <v>1.4999999999999999E-2</v>
      </c>
      <c r="D38" s="346">
        <f t="shared" si="1"/>
        <v>2.7906860018152842E-2</v>
      </c>
      <c r="E38" s="450"/>
    </row>
    <row r="39" spans="1:6" ht="17.399999999999999">
      <c r="A39" s="516" t="s">
        <v>716</v>
      </c>
      <c r="B39" s="420">
        <v>12309</v>
      </c>
      <c r="C39" s="319">
        <v>1.4E-2</v>
      </c>
      <c r="D39" s="101">
        <f t="shared" si="1"/>
        <v>2.5742321639946296E-2</v>
      </c>
      <c r="E39" s="450"/>
    </row>
    <row r="40" spans="1:6" ht="17.399999999999999">
      <c r="A40" s="517" t="s">
        <v>717</v>
      </c>
      <c r="B40" s="430">
        <v>10534</v>
      </c>
      <c r="C40" s="351">
        <v>1.2E-2</v>
      </c>
      <c r="D40" s="346">
        <f t="shared" si="1"/>
        <v>2.2030190604857766E-2</v>
      </c>
      <c r="E40" s="450"/>
    </row>
    <row r="41" spans="1:6" ht="17.399999999999999">
      <c r="A41" s="516" t="s">
        <v>718</v>
      </c>
      <c r="B41" s="420">
        <v>7829</v>
      </c>
      <c r="C41" s="319">
        <v>8.9999999999999993E-3</v>
      </c>
      <c r="D41" s="101">
        <f t="shared" si="1"/>
        <v>1.6373112041525674E-2</v>
      </c>
      <c r="E41" s="450"/>
    </row>
    <row r="42" spans="1:6" ht="18" thickBot="1">
      <c r="A42" s="522" t="s">
        <v>719</v>
      </c>
      <c r="B42" s="431">
        <v>4764</v>
      </c>
      <c r="C42" s="352">
        <v>5.0000000000000001E-3</v>
      </c>
      <c r="D42" s="349">
        <f t="shared" si="1"/>
        <v>9.9631505640347829E-3</v>
      </c>
      <c r="E42" s="450"/>
    </row>
    <row r="43" spans="1:6">
      <c r="A43" s="505" t="s">
        <v>56</v>
      </c>
      <c r="B43" s="114">
        <f>SUM(B27:B42)</f>
        <v>478162</v>
      </c>
      <c r="C43" s="319"/>
      <c r="D43" s="101">
        <f t="shared" si="1"/>
        <v>1</v>
      </c>
    </row>
    <row r="44" spans="1:6">
      <c r="A44" s="505" t="s">
        <v>1</v>
      </c>
      <c r="B44" s="114">
        <v>389411</v>
      </c>
      <c r="C44" s="319">
        <v>0.44900000000000001</v>
      </c>
      <c r="D44" s="107"/>
    </row>
    <row r="45" spans="1:6">
      <c r="A45" s="506" t="s">
        <v>78</v>
      </c>
      <c r="B45" s="115">
        <v>175</v>
      </c>
      <c r="C45" s="321">
        <v>1E-3</v>
      </c>
      <c r="D45" s="109"/>
    </row>
    <row r="46" spans="1:6">
      <c r="A46" s="497"/>
    </row>
    <row r="48" spans="1:6" ht="32.4">
      <c r="A48" s="498" t="s">
        <v>3</v>
      </c>
      <c r="B48" s="75" t="s">
        <v>4</v>
      </c>
      <c r="C48" s="85" t="s">
        <v>149</v>
      </c>
      <c r="D48" s="86" t="s">
        <v>148</v>
      </c>
      <c r="E48" s="15"/>
      <c r="F48" s="56"/>
    </row>
    <row r="49" spans="1:6">
      <c r="A49" s="516" t="s">
        <v>720</v>
      </c>
      <c r="B49" s="141"/>
      <c r="C49" s="223"/>
      <c r="D49" s="353"/>
      <c r="F49" s="9" t="s">
        <v>140</v>
      </c>
    </row>
    <row r="50" spans="1:6">
      <c r="A50" s="517" t="s">
        <v>721</v>
      </c>
      <c r="B50" s="432"/>
      <c r="C50" s="354"/>
      <c r="D50" s="355"/>
    </row>
    <row r="54" spans="1:6" ht="28.5" customHeight="1">
      <c r="A54" s="694" t="s">
        <v>114</v>
      </c>
      <c r="B54" s="695"/>
      <c r="C54" s="695"/>
      <c r="D54" s="696"/>
    </row>
    <row r="55" spans="1:6">
      <c r="A55" s="496">
        <v>41947</v>
      </c>
    </row>
    <row r="58" spans="1:6" ht="32.4">
      <c r="A58" s="507" t="s">
        <v>9</v>
      </c>
      <c r="B58" s="80" t="s">
        <v>4</v>
      </c>
      <c r="C58" s="102" t="s">
        <v>149</v>
      </c>
      <c r="D58" s="103" t="s">
        <v>148</v>
      </c>
      <c r="E58" s="15"/>
      <c r="F58" s="56"/>
    </row>
    <row r="59" spans="1:6" ht="17.399999999999999">
      <c r="A59" s="516" t="s">
        <v>722</v>
      </c>
      <c r="B59" s="385">
        <v>138478</v>
      </c>
      <c r="C59" s="336">
        <v>0.125</v>
      </c>
      <c r="D59" s="96">
        <f>B59/645436</f>
        <v>0.21454954480382255</v>
      </c>
      <c r="E59" s="450"/>
    </row>
    <row r="60" spans="1:6" ht="17.399999999999999">
      <c r="A60" s="523" t="s">
        <v>550</v>
      </c>
      <c r="B60" s="386">
        <v>123891</v>
      </c>
      <c r="C60" s="337">
        <v>0.112</v>
      </c>
      <c r="D60" s="225">
        <f t="shared" ref="D60:D65" si="2">B60/645436</f>
        <v>0.19194931798040393</v>
      </c>
      <c r="E60" s="450"/>
    </row>
    <row r="61" spans="1:6" ht="17.399999999999999">
      <c r="A61" s="516" t="s">
        <v>723</v>
      </c>
      <c r="B61" s="387">
        <v>113202</v>
      </c>
      <c r="C61" s="347">
        <v>0.10199999999999999</v>
      </c>
      <c r="D61" s="101">
        <f t="shared" si="2"/>
        <v>0.17538841961092966</v>
      </c>
      <c r="E61" s="450"/>
    </row>
    <row r="62" spans="1:6" ht="17.399999999999999">
      <c r="A62" s="523" t="s">
        <v>552</v>
      </c>
      <c r="B62" s="386">
        <v>102633</v>
      </c>
      <c r="C62" s="337">
        <v>9.2999999999999999E-2</v>
      </c>
      <c r="D62" s="225">
        <f t="shared" si="2"/>
        <v>0.15901344207636389</v>
      </c>
      <c r="E62" s="450"/>
    </row>
    <row r="63" spans="1:6" ht="17.399999999999999">
      <c r="A63" s="516" t="s">
        <v>686</v>
      </c>
      <c r="B63" s="387">
        <v>92261</v>
      </c>
      <c r="C63" s="347">
        <v>8.3000000000000004E-2</v>
      </c>
      <c r="D63" s="101">
        <f t="shared" si="2"/>
        <v>0.14294368457910622</v>
      </c>
      <c r="E63" s="450"/>
    </row>
    <row r="64" spans="1:6" ht="18" thickBot="1">
      <c r="A64" s="524" t="s">
        <v>724</v>
      </c>
      <c r="B64" s="388">
        <v>74971</v>
      </c>
      <c r="C64" s="356">
        <v>6.8000000000000005E-2</v>
      </c>
      <c r="D64" s="233">
        <f t="shared" si="2"/>
        <v>0.11615559094937376</v>
      </c>
      <c r="E64" s="450"/>
    </row>
    <row r="65" spans="1:6">
      <c r="A65" s="505" t="s">
        <v>56</v>
      </c>
      <c r="B65" s="120">
        <f>SUM(B59:B64)</f>
        <v>645436</v>
      </c>
      <c r="C65" s="347"/>
      <c r="D65" s="101">
        <f t="shared" si="2"/>
        <v>1</v>
      </c>
    </row>
    <row r="66" spans="1:6">
      <c r="A66" s="505" t="s">
        <v>1</v>
      </c>
      <c r="B66" s="120">
        <v>462938</v>
      </c>
      <c r="C66" s="347">
        <v>0.41699999999999998</v>
      </c>
      <c r="D66" s="107"/>
    </row>
    <row r="67" spans="1:6">
      <c r="A67" s="506" t="s">
        <v>78</v>
      </c>
      <c r="B67" s="121">
        <v>182</v>
      </c>
      <c r="C67" s="350">
        <v>0</v>
      </c>
      <c r="D67" s="109"/>
    </row>
    <row r="70" spans="1:6" ht="32.4">
      <c r="A70" s="503" t="s">
        <v>3</v>
      </c>
      <c r="B70" s="80" t="s">
        <v>4</v>
      </c>
      <c r="C70" s="102" t="s">
        <v>149</v>
      </c>
      <c r="D70" s="103" t="s">
        <v>148</v>
      </c>
      <c r="E70" s="15"/>
      <c r="F70" s="56"/>
    </row>
    <row r="71" spans="1:6" ht="17.399999999999999">
      <c r="A71" s="516" t="s">
        <v>679</v>
      </c>
      <c r="B71" s="385">
        <v>127288</v>
      </c>
      <c r="C71" s="336">
        <v>0.34399999999999997</v>
      </c>
      <c r="D71" s="96">
        <f>B71/214536</f>
        <v>0.5933176716262073</v>
      </c>
      <c r="E71" s="450"/>
    </row>
    <row r="72" spans="1:6" ht="18" thickBot="1">
      <c r="A72" s="524" t="s">
        <v>725</v>
      </c>
      <c r="B72" s="388">
        <v>87248</v>
      </c>
      <c r="C72" s="356">
        <v>0.23599999999999999</v>
      </c>
      <c r="D72" s="233">
        <f t="shared" ref="D72:D73" si="3">B72/214536</f>
        <v>0.40668232837379276</v>
      </c>
      <c r="E72" s="450"/>
    </row>
    <row r="73" spans="1:6">
      <c r="A73" s="505" t="s">
        <v>56</v>
      </c>
      <c r="B73" s="120">
        <f>SUM(B71:B72)</f>
        <v>214536</v>
      </c>
      <c r="C73" s="347"/>
      <c r="D73" s="101">
        <f t="shared" si="3"/>
        <v>1</v>
      </c>
    </row>
    <row r="74" spans="1:6">
      <c r="A74" s="505" t="s">
        <v>1</v>
      </c>
      <c r="B74" s="120">
        <v>155005</v>
      </c>
      <c r="C74" s="347">
        <v>0.41899999999999998</v>
      </c>
      <c r="D74" s="107"/>
    </row>
    <row r="75" spans="1:6">
      <c r="A75" s="506" t="s">
        <v>78</v>
      </c>
      <c r="B75" s="121">
        <v>101</v>
      </c>
      <c r="C75" s="350">
        <v>0</v>
      </c>
      <c r="D75" s="109"/>
    </row>
    <row r="78" spans="1:6" ht="38.25" customHeight="1">
      <c r="A78" s="704" t="s">
        <v>77</v>
      </c>
      <c r="B78" s="704"/>
      <c r="C78" s="704"/>
      <c r="D78" s="704"/>
    </row>
  </sheetData>
  <mergeCells count="11">
    <mergeCell ref="A78:D78"/>
    <mergeCell ref="A54:D54"/>
    <mergeCell ref="A2:D2"/>
    <mergeCell ref="A5:D5"/>
    <mergeCell ref="A7:D7"/>
    <mergeCell ref="A8:D8"/>
    <mergeCell ref="A9:D9"/>
    <mergeCell ref="A10:D10"/>
    <mergeCell ref="A11:D11"/>
    <mergeCell ref="A12:D12"/>
    <mergeCell ref="A13:D13"/>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69"/>
  <sheetViews>
    <sheetView workbookViewId="0">
      <selection activeCell="A57" sqref="A57"/>
    </sheetView>
  </sheetViews>
  <sheetFormatPr defaultColWidth="9" defaultRowHeight="13.8"/>
  <cols>
    <col min="1" max="1" width="36.19921875" style="515" customWidth="1"/>
    <col min="2" max="2" width="10.59765625" style="111" customWidth="1"/>
    <col min="3" max="4" width="10.59765625" style="274" customWidth="1"/>
    <col min="5" max="16384" width="9" style="3"/>
  </cols>
  <sheetData>
    <row r="2" spans="1:6" ht="28.5" customHeight="1">
      <c r="A2" s="718" t="s">
        <v>112</v>
      </c>
      <c r="B2" s="719"/>
      <c r="C2" s="719"/>
      <c r="D2" s="720"/>
    </row>
    <row r="3" spans="1:6">
      <c r="A3" s="509" t="s">
        <v>32</v>
      </c>
    </row>
    <row r="5" spans="1:6" ht="30" customHeight="1">
      <c r="A5" s="708" t="s">
        <v>57</v>
      </c>
      <c r="B5" s="708"/>
      <c r="C5" s="708"/>
      <c r="D5" s="708"/>
    </row>
    <row r="8" spans="1:6" ht="28.5" customHeight="1">
      <c r="A8" s="701" t="s">
        <v>113</v>
      </c>
      <c r="B8" s="702"/>
      <c r="C8" s="702"/>
      <c r="D8" s="703"/>
    </row>
    <row r="9" spans="1:6">
      <c r="A9" s="509" t="s">
        <v>33</v>
      </c>
    </row>
    <row r="11" spans="1:6" ht="32.4">
      <c r="A11" s="525" t="s">
        <v>5</v>
      </c>
      <c r="B11" s="80" t="s">
        <v>4</v>
      </c>
      <c r="C11" s="102" t="s">
        <v>149</v>
      </c>
      <c r="D11" s="103" t="s">
        <v>148</v>
      </c>
      <c r="F11" s="56"/>
    </row>
    <row r="12" spans="1:6" ht="18" thickBot="1">
      <c r="A12" s="526" t="s">
        <v>701</v>
      </c>
      <c r="B12" s="123">
        <v>190471</v>
      </c>
      <c r="C12" s="292">
        <v>0.436</v>
      </c>
      <c r="D12" s="334"/>
      <c r="E12" s="450"/>
    </row>
    <row r="13" spans="1:6" ht="14.25" customHeight="1">
      <c r="A13" s="505" t="s">
        <v>56</v>
      </c>
      <c r="B13" s="144"/>
      <c r="C13" s="340"/>
      <c r="D13" s="335"/>
    </row>
    <row r="14" spans="1:6">
      <c r="A14" s="505" t="s">
        <v>1</v>
      </c>
      <c r="B14" s="124">
        <v>246212</v>
      </c>
      <c r="C14" s="339">
        <v>0.56399999999999995</v>
      </c>
      <c r="D14" s="335"/>
    </row>
    <row r="15" spans="1:6">
      <c r="A15" s="506" t="s">
        <v>78</v>
      </c>
      <c r="B15" s="113">
        <v>0</v>
      </c>
      <c r="C15" s="294">
        <v>0</v>
      </c>
      <c r="D15" s="341"/>
    </row>
    <row r="16" spans="1:6">
      <c r="A16" s="527"/>
    </row>
    <row r="18" spans="1:6" ht="32.4">
      <c r="A18" s="503" t="s">
        <v>2</v>
      </c>
      <c r="B18" s="80" t="s">
        <v>4</v>
      </c>
      <c r="C18" s="102" t="s">
        <v>149</v>
      </c>
      <c r="D18" s="103" t="s">
        <v>148</v>
      </c>
      <c r="F18" s="56"/>
    </row>
    <row r="19" spans="1:6" ht="17.399999999999999">
      <c r="A19" s="516" t="s">
        <v>691</v>
      </c>
      <c r="B19" s="127">
        <v>56306</v>
      </c>
      <c r="C19" s="295">
        <v>0.129</v>
      </c>
      <c r="D19" s="181">
        <f>B19/218809</f>
        <v>0.25732945171359495</v>
      </c>
      <c r="E19" s="450"/>
      <c r="F19" s="10"/>
    </row>
    <row r="20" spans="1:6" ht="17.399999999999999">
      <c r="A20" s="523" t="s">
        <v>692</v>
      </c>
      <c r="B20" s="376">
        <v>28867</v>
      </c>
      <c r="C20" s="296">
        <v>6.6000000000000003E-2</v>
      </c>
      <c r="D20" s="182">
        <f t="shared" ref="D20:D30" si="0">B20/218809</f>
        <v>0.13192784574674715</v>
      </c>
      <c r="E20" s="450"/>
      <c r="F20" s="10"/>
    </row>
    <row r="21" spans="1:6" ht="17.399999999999999">
      <c r="A21" s="516" t="s">
        <v>693</v>
      </c>
      <c r="B21" s="377">
        <v>26601</v>
      </c>
      <c r="C21" s="297">
        <v>6.0999999999999999E-2</v>
      </c>
      <c r="D21" s="183">
        <f t="shared" si="0"/>
        <v>0.121571781782285</v>
      </c>
      <c r="E21" s="450"/>
      <c r="F21" s="10"/>
    </row>
    <row r="22" spans="1:6" ht="17.399999999999999">
      <c r="A22" s="523" t="s">
        <v>660</v>
      </c>
      <c r="B22" s="376">
        <v>21886</v>
      </c>
      <c r="C22" s="296">
        <v>0.05</v>
      </c>
      <c r="D22" s="182">
        <f t="shared" si="0"/>
        <v>0.10002330799921393</v>
      </c>
      <c r="E22" s="450"/>
      <c r="F22" s="10"/>
    </row>
    <row r="23" spans="1:6" ht="17.399999999999999">
      <c r="A23" s="516" t="s">
        <v>694</v>
      </c>
      <c r="B23" s="377">
        <v>20903</v>
      </c>
      <c r="C23" s="297">
        <v>4.8000000000000001E-2</v>
      </c>
      <c r="D23" s="183">
        <f t="shared" si="0"/>
        <v>9.5530805405627736E-2</v>
      </c>
      <c r="E23" s="450"/>
      <c r="F23" s="10"/>
    </row>
    <row r="24" spans="1:6" ht="17.399999999999999">
      <c r="A24" s="523" t="s">
        <v>695</v>
      </c>
      <c r="B24" s="376">
        <v>16311</v>
      </c>
      <c r="C24" s="296">
        <v>3.6999999999999998E-2</v>
      </c>
      <c r="D24" s="182">
        <f t="shared" si="0"/>
        <v>7.454446572124547E-2</v>
      </c>
      <c r="E24" s="450"/>
      <c r="F24" s="10"/>
    </row>
    <row r="25" spans="1:6" ht="17.399999999999999">
      <c r="A25" s="516" t="s">
        <v>696</v>
      </c>
      <c r="B25" s="377">
        <v>15428</v>
      </c>
      <c r="C25" s="297">
        <v>3.5000000000000003E-2</v>
      </c>
      <c r="D25" s="183">
        <f t="shared" si="0"/>
        <v>7.0508982720089208E-2</v>
      </c>
      <c r="E25" s="450"/>
      <c r="F25" s="10"/>
    </row>
    <row r="26" spans="1:6" ht="17.399999999999999">
      <c r="A26" s="523" t="s">
        <v>697</v>
      </c>
      <c r="B26" s="376">
        <v>13693</v>
      </c>
      <c r="C26" s="296">
        <v>3.1E-2</v>
      </c>
      <c r="D26" s="182">
        <f t="shared" si="0"/>
        <v>6.2579692791429969E-2</v>
      </c>
      <c r="E26" s="450"/>
      <c r="F26" s="10"/>
    </row>
    <row r="27" spans="1:6" ht="17.399999999999999">
      <c r="A27" s="516" t="s">
        <v>698</v>
      </c>
      <c r="B27" s="377">
        <v>8055</v>
      </c>
      <c r="C27" s="297">
        <v>1.7999999999999999E-2</v>
      </c>
      <c r="D27" s="183">
        <f t="shared" si="0"/>
        <v>3.6812928170230658E-2</v>
      </c>
      <c r="E27" s="450"/>
      <c r="F27" s="10"/>
    </row>
    <row r="28" spans="1:6" ht="17.399999999999999">
      <c r="A28" s="523" t="s">
        <v>699</v>
      </c>
      <c r="B28" s="376">
        <v>7444</v>
      </c>
      <c r="C28" s="296">
        <v>1.7000000000000001E-2</v>
      </c>
      <c r="D28" s="182">
        <f t="shared" si="0"/>
        <v>3.40205384604838E-2</v>
      </c>
      <c r="E28" s="450"/>
      <c r="F28" s="10"/>
    </row>
    <row r="29" spans="1:6" ht="18" thickBot="1">
      <c r="A29" s="518" t="s">
        <v>700</v>
      </c>
      <c r="B29" s="395">
        <v>3315</v>
      </c>
      <c r="C29" s="292">
        <v>8.0000000000000002E-3</v>
      </c>
      <c r="D29" s="342">
        <f t="shared" si="0"/>
        <v>1.5150199489052095E-2</v>
      </c>
      <c r="E29" s="450"/>
    </row>
    <row r="30" spans="1:6" ht="14.25" customHeight="1">
      <c r="A30" s="505" t="s">
        <v>56</v>
      </c>
      <c r="B30" s="144">
        <f>SUM(B19:B29)</f>
        <v>218809</v>
      </c>
      <c r="C30" s="293"/>
      <c r="D30" s="183">
        <f t="shared" si="0"/>
        <v>1</v>
      </c>
    </row>
    <row r="31" spans="1:6" ht="16.5" customHeight="1">
      <c r="A31" s="505" t="s">
        <v>1</v>
      </c>
      <c r="B31" s="144">
        <v>217440</v>
      </c>
      <c r="C31" s="293">
        <v>0.498</v>
      </c>
      <c r="D31" s="335"/>
    </row>
    <row r="32" spans="1:6">
      <c r="A32" s="506" t="s">
        <v>78</v>
      </c>
      <c r="B32" s="471">
        <v>434</v>
      </c>
      <c r="C32" s="294">
        <v>1E-3</v>
      </c>
      <c r="D32" s="341"/>
    </row>
    <row r="33" spans="1:8">
      <c r="A33" s="527"/>
    </row>
    <row r="35" spans="1:8" ht="32.4">
      <c r="A35" s="503" t="s">
        <v>6</v>
      </c>
      <c r="B35" s="80" t="s">
        <v>4</v>
      </c>
      <c r="C35" s="102" t="s">
        <v>149</v>
      </c>
      <c r="D35" s="103" t="s">
        <v>148</v>
      </c>
      <c r="F35" s="56"/>
    </row>
    <row r="36" spans="1:8" ht="17.399999999999999">
      <c r="A36" s="516" t="s">
        <v>688</v>
      </c>
      <c r="B36" s="390">
        <v>133365</v>
      </c>
      <c r="C36" s="290">
        <v>0.30499999999999999</v>
      </c>
      <c r="D36" s="328">
        <f>B36/242053</f>
        <v>0.55097437338103639</v>
      </c>
      <c r="E36" s="450"/>
    </row>
    <row r="37" spans="1:8" ht="17.399999999999999">
      <c r="A37" s="523" t="s">
        <v>689</v>
      </c>
      <c r="B37" s="391">
        <v>66312</v>
      </c>
      <c r="C37" s="291">
        <v>0.152</v>
      </c>
      <c r="D37" s="333">
        <f t="shared" ref="D37:D39" si="1">B37/242053</f>
        <v>0.27395653018140653</v>
      </c>
      <c r="E37" s="450"/>
      <c r="F37" s="22"/>
      <c r="G37" s="18"/>
      <c r="H37" s="18"/>
    </row>
    <row r="38" spans="1:8" ht="18" thickBot="1">
      <c r="A38" s="518" t="s">
        <v>690</v>
      </c>
      <c r="B38" s="395">
        <v>42376</v>
      </c>
      <c r="C38" s="292">
        <v>9.7000000000000003E-2</v>
      </c>
      <c r="D38" s="343">
        <f t="shared" si="1"/>
        <v>0.17506909643755705</v>
      </c>
      <c r="E38" s="450"/>
      <c r="F38" s="23"/>
      <c r="G38" s="18"/>
      <c r="H38" s="18"/>
    </row>
    <row r="39" spans="1:8" ht="14.25" customHeight="1">
      <c r="A39" s="505" t="s">
        <v>56</v>
      </c>
      <c r="B39" s="144">
        <f>SUM(B36:B38)</f>
        <v>242053</v>
      </c>
      <c r="C39" s="293"/>
      <c r="D39" s="330">
        <f t="shared" si="1"/>
        <v>1</v>
      </c>
      <c r="F39" s="19"/>
      <c r="G39" s="19"/>
      <c r="H39" s="19"/>
    </row>
    <row r="40" spans="1:8">
      <c r="A40" s="505" t="s">
        <v>1</v>
      </c>
      <c r="B40" s="124">
        <v>194484</v>
      </c>
      <c r="C40" s="339">
        <v>0.44500000000000001</v>
      </c>
      <c r="D40" s="335"/>
      <c r="F40" s="18"/>
      <c r="G40" s="20"/>
      <c r="H40" s="21"/>
    </row>
    <row r="41" spans="1:8">
      <c r="A41" s="506" t="s">
        <v>78</v>
      </c>
      <c r="B41" s="113">
        <v>146</v>
      </c>
      <c r="C41" s="294">
        <v>0</v>
      </c>
      <c r="D41" s="341"/>
    </row>
    <row r="42" spans="1:8">
      <c r="A42" s="527"/>
    </row>
    <row r="44" spans="1:8" ht="32.4">
      <c r="A44" s="507" t="s">
        <v>7</v>
      </c>
      <c r="B44" s="80" t="s">
        <v>4</v>
      </c>
      <c r="C44" s="102" t="s">
        <v>149</v>
      </c>
      <c r="D44" s="103" t="s">
        <v>148</v>
      </c>
      <c r="F44" s="56"/>
    </row>
    <row r="45" spans="1:8" ht="17.399999999999999">
      <c r="A45" s="493" t="s">
        <v>204</v>
      </c>
      <c r="B45" s="129">
        <v>103770</v>
      </c>
      <c r="C45" s="290">
        <v>0.23799999999999999</v>
      </c>
      <c r="D45" s="328">
        <f>B45/282155</f>
        <v>0.36777657670429376</v>
      </c>
      <c r="E45" s="450"/>
    </row>
    <row r="46" spans="1:8" ht="17.399999999999999">
      <c r="A46" s="514" t="s">
        <v>685</v>
      </c>
      <c r="B46" s="425">
        <v>79022</v>
      </c>
      <c r="C46" s="291">
        <v>0.18099999999999999</v>
      </c>
      <c r="D46" s="333">
        <f t="shared" ref="D46:D51" si="2">B46/282155</f>
        <v>0.28006592121351737</v>
      </c>
      <c r="E46" s="450"/>
    </row>
    <row r="47" spans="1:8" ht="17.399999999999999">
      <c r="A47" s="493" t="s">
        <v>686</v>
      </c>
      <c r="B47" s="111">
        <v>37835</v>
      </c>
      <c r="C47" s="293">
        <v>8.6999999999999994E-2</v>
      </c>
      <c r="D47" s="330">
        <f t="shared" si="2"/>
        <v>0.13409296308766458</v>
      </c>
      <c r="E47" s="450"/>
    </row>
    <row r="48" spans="1:8" ht="17.399999999999999">
      <c r="A48" s="514" t="s">
        <v>191</v>
      </c>
      <c r="B48" s="425">
        <v>34890</v>
      </c>
      <c r="C48" s="291">
        <v>0.08</v>
      </c>
      <c r="D48" s="333">
        <f t="shared" si="2"/>
        <v>0.12365543761407737</v>
      </c>
      <c r="E48" s="450"/>
    </row>
    <row r="49" spans="1:6" ht="17.399999999999999">
      <c r="A49" s="493" t="s">
        <v>675</v>
      </c>
      <c r="B49" s="111">
        <v>14982</v>
      </c>
      <c r="C49" s="293">
        <v>3.4000000000000002E-2</v>
      </c>
      <c r="D49" s="330">
        <f t="shared" si="2"/>
        <v>5.3098474242880687E-2</v>
      </c>
      <c r="E49" s="450"/>
    </row>
    <row r="50" spans="1:6" ht="18" thickBot="1">
      <c r="A50" s="508" t="s">
        <v>687</v>
      </c>
      <c r="B50" s="427">
        <v>11656</v>
      </c>
      <c r="C50" s="344">
        <v>2.7E-2</v>
      </c>
      <c r="D50" s="329">
        <f t="shared" si="2"/>
        <v>4.1310627137566232E-2</v>
      </c>
      <c r="E50" s="450"/>
    </row>
    <row r="51" spans="1:6">
      <c r="A51" s="505" t="s">
        <v>56</v>
      </c>
      <c r="B51" s="112">
        <f>SUM(B45:B50)</f>
        <v>282155</v>
      </c>
      <c r="C51" s="293"/>
      <c r="D51" s="330">
        <f t="shared" si="2"/>
        <v>1</v>
      </c>
    </row>
    <row r="52" spans="1:6">
      <c r="A52" s="505" t="s">
        <v>1</v>
      </c>
      <c r="B52" s="112">
        <v>154148</v>
      </c>
      <c r="C52" s="293">
        <v>0.35299999999999998</v>
      </c>
      <c r="D52" s="335"/>
      <c r="F52" s="16"/>
    </row>
    <row r="53" spans="1:6">
      <c r="A53" s="506" t="s">
        <v>78</v>
      </c>
      <c r="B53" s="113">
        <v>380</v>
      </c>
      <c r="C53" s="294">
        <v>1E-3</v>
      </c>
      <c r="D53" s="341"/>
    </row>
    <row r="54" spans="1:6">
      <c r="F54" s="17"/>
    </row>
    <row r="56" spans="1:6" ht="32.4">
      <c r="A56" s="507" t="s">
        <v>34</v>
      </c>
      <c r="B56" s="80" t="s">
        <v>4</v>
      </c>
      <c r="C56" s="102" t="s">
        <v>149</v>
      </c>
      <c r="D56" s="103" t="s">
        <v>148</v>
      </c>
      <c r="F56" s="56"/>
    </row>
    <row r="57" spans="1:6" ht="17.399999999999999">
      <c r="A57" s="493" t="s">
        <v>679</v>
      </c>
      <c r="B57" s="129">
        <v>56987</v>
      </c>
      <c r="C57" s="290">
        <v>0.13</v>
      </c>
      <c r="D57" s="328">
        <f>B57/220761</f>
        <v>0.25813889228622811</v>
      </c>
      <c r="E57" s="450"/>
    </row>
    <row r="58" spans="1:6" ht="17.399999999999999">
      <c r="A58" s="514" t="s">
        <v>680</v>
      </c>
      <c r="B58" s="425">
        <v>41385</v>
      </c>
      <c r="C58" s="291">
        <v>9.5000000000000001E-2</v>
      </c>
      <c r="D58" s="333">
        <f t="shared" ref="D58:D64" si="3">B58/220761</f>
        <v>0.18746517727315967</v>
      </c>
      <c r="E58" s="450"/>
    </row>
    <row r="59" spans="1:6" ht="17.399999999999999">
      <c r="A59" s="493" t="s">
        <v>681</v>
      </c>
      <c r="B59" s="111">
        <v>32725</v>
      </c>
      <c r="C59" s="293">
        <v>7.4999999999999997E-2</v>
      </c>
      <c r="D59" s="330">
        <f t="shared" si="3"/>
        <v>0.148237233931718</v>
      </c>
      <c r="E59" s="450"/>
    </row>
    <row r="60" spans="1:6" ht="17.399999999999999">
      <c r="A60" s="514" t="s">
        <v>682</v>
      </c>
      <c r="B60" s="425">
        <v>28152</v>
      </c>
      <c r="C60" s="291">
        <v>6.4000000000000001E-2</v>
      </c>
      <c r="D60" s="333">
        <f t="shared" si="3"/>
        <v>0.12752252435892208</v>
      </c>
      <c r="E60" s="450"/>
    </row>
    <row r="61" spans="1:6" ht="17.399999999999999">
      <c r="A61" s="493" t="s">
        <v>223</v>
      </c>
      <c r="B61" s="111">
        <v>24823</v>
      </c>
      <c r="C61" s="293">
        <v>5.7000000000000002E-2</v>
      </c>
      <c r="D61" s="330">
        <f t="shared" si="3"/>
        <v>0.11244286807905382</v>
      </c>
      <c r="E61" s="450"/>
    </row>
    <row r="62" spans="1:6" ht="17.399999999999999">
      <c r="A62" s="514" t="s">
        <v>683</v>
      </c>
      <c r="B62" s="425">
        <v>19901</v>
      </c>
      <c r="C62" s="291">
        <v>4.5999999999999999E-2</v>
      </c>
      <c r="D62" s="333">
        <f t="shared" si="3"/>
        <v>9.0147263330026595E-2</v>
      </c>
      <c r="E62" s="450"/>
    </row>
    <row r="63" spans="1:6" ht="18" thickBot="1">
      <c r="A63" s="495" t="s">
        <v>684</v>
      </c>
      <c r="B63" s="426">
        <v>16788</v>
      </c>
      <c r="C63" s="292">
        <v>3.7999999999999999E-2</v>
      </c>
      <c r="D63" s="343">
        <f t="shared" si="3"/>
        <v>7.6046040740891732E-2</v>
      </c>
      <c r="E63" s="450"/>
    </row>
    <row r="64" spans="1:6">
      <c r="A64" s="505" t="s">
        <v>56</v>
      </c>
      <c r="B64" s="112">
        <f>SUM(B57:B63)</f>
        <v>220761</v>
      </c>
      <c r="C64" s="293"/>
      <c r="D64" s="330">
        <f t="shared" si="3"/>
        <v>1</v>
      </c>
    </row>
    <row r="65" spans="1:4">
      <c r="A65" s="505" t="s">
        <v>1</v>
      </c>
      <c r="B65" s="112">
        <v>215721</v>
      </c>
      <c r="C65" s="293">
        <v>0.49399999999999999</v>
      </c>
      <c r="D65" s="335"/>
    </row>
    <row r="66" spans="1:4">
      <c r="A66" s="506" t="s">
        <v>78</v>
      </c>
      <c r="B66" s="113">
        <v>201</v>
      </c>
      <c r="C66" s="294">
        <v>0</v>
      </c>
      <c r="D66" s="341"/>
    </row>
    <row r="67" spans="1:4">
      <c r="A67" s="527"/>
    </row>
    <row r="69" spans="1:4" ht="38.25" customHeight="1">
      <c r="A69" s="687" t="s">
        <v>134</v>
      </c>
      <c r="B69" s="687"/>
      <c r="C69" s="687"/>
      <c r="D69" s="687"/>
    </row>
  </sheetData>
  <mergeCells count="4">
    <mergeCell ref="A2:D2"/>
    <mergeCell ref="A8:D8"/>
    <mergeCell ref="A5:D5"/>
    <mergeCell ref="A69:D69"/>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43"/>
  <sheetViews>
    <sheetView topLeftCell="A19" workbookViewId="0">
      <selection activeCell="A25" sqref="A25:D25"/>
    </sheetView>
  </sheetViews>
  <sheetFormatPr defaultColWidth="9" defaultRowHeight="13.8"/>
  <cols>
    <col min="1" max="1" width="36" style="515" customWidth="1"/>
    <col min="2" max="2" width="10.59765625" style="111" customWidth="1"/>
    <col min="3" max="3" width="10.59765625" style="274" customWidth="1"/>
    <col min="4" max="4" width="10.59765625" style="239" customWidth="1"/>
    <col min="5" max="16384" width="9" style="3"/>
  </cols>
  <sheetData>
    <row r="2" spans="1:8" ht="29.25" customHeight="1">
      <c r="A2" s="718" t="s">
        <v>110</v>
      </c>
      <c r="B2" s="719"/>
      <c r="C2" s="719"/>
      <c r="D2" s="720"/>
    </row>
    <row r="3" spans="1:8">
      <c r="A3" s="509" t="s">
        <v>31</v>
      </c>
    </row>
    <row r="5" spans="1:8" ht="30" customHeight="1">
      <c r="A5" s="708" t="s">
        <v>57</v>
      </c>
      <c r="B5" s="708"/>
      <c r="C5" s="708"/>
      <c r="D5" s="708"/>
    </row>
    <row r="8" spans="1:8" ht="29.25" customHeight="1">
      <c r="A8" s="721" t="s">
        <v>111</v>
      </c>
      <c r="B8" s="722"/>
      <c r="C8" s="722"/>
      <c r="D8" s="723"/>
    </row>
    <row r="9" spans="1:8">
      <c r="A9" s="509" t="s">
        <v>30</v>
      </c>
    </row>
    <row r="11" spans="1:8" ht="32.4">
      <c r="A11" s="513" t="s">
        <v>8</v>
      </c>
      <c r="B11" s="80" t="s">
        <v>4</v>
      </c>
      <c r="C11" s="102" t="s">
        <v>149</v>
      </c>
      <c r="D11" s="103" t="s">
        <v>148</v>
      </c>
      <c r="F11" s="56"/>
    </row>
    <row r="12" spans="1:8" ht="17.399999999999999">
      <c r="A12" s="493" t="s">
        <v>672</v>
      </c>
      <c r="B12" s="385">
        <v>101307</v>
      </c>
      <c r="C12" s="336">
        <v>0.26300000000000001</v>
      </c>
      <c r="D12" s="243">
        <f>B12/236138</f>
        <v>0.42901608381539608</v>
      </c>
      <c r="E12" s="450"/>
      <c r="F12" s="21"/>
      <c r="G12" s="24"/>
      <c r="H12" s="25"/>
    </row>
    <row r="13" spans="1:8" ht="17.399999999999999">
      <c r="A13" s="514" t="s">
        <v>659</v>
      </c>
      <c r="B13" s="386">
        <v>76799</v>
      </c>
      <c r="C13" s="337">
        <v>0.19900000000000001</v>
      </c>
      <c r="D13" s="245">
        <f t="shared" ref="D13:D15" si="0">B13/236138</f>
        <v>0.3252293150615318</v>
      </c>
      <c r="E13" s="450"/>
      <c r="F13" s="21"/>
      <c r="G13" s="24"/>
      <c r="H13" s="25"/>
    </row>
    <row r="14" spans="1:8" ht="18" thickBot="1">
      <c r="A14" s="495" t="s">
        <v>660</v>
      </c>
      <c r="B14" s="389">
        <v>58032</v>
      </c>
      <c r="C14" s="338">
        <v>0.151</v>
      </c>
      <c r="D14" s="256">
        <f t="shared" si="0"/>
        <v>0.2457546011230721</v>
      </c>
      <c r="E14" s="450"/>
      <c r="F14" s="21"/>
      <c r="G14" s="24"/>
      <c r="H14" s="25"/>
    </row>
    <row r="15" spans="1:8" ht="14.25" customHeight="1">
      <c r="A15" s="505" t="s">
        <v>56</v>
      </c>
      <c r="B15" s="124">
        <f>SUM(B12:B14)</f>
        <v>236138</v>
      </c>
      <c r="C15" s="467"/>
      <c r="D15" s="247">
        <f t="shared" si="0"/>
        <v>1</v>
      </c>
    </row>
    <row r="16" spans="1:8">
      <c r="A16" s="505" t="s">
        <v>1</v>
      </c>
      <c r="B16" s="124">
        <v>149074</v>
      </c>
      <c r="C16" s="339">
        <v>0.38700000000000001</v>
      </c>
      <c r="D16" s="251"/>
    </row>
    <row r="17" spans="1:6">
      <c r="A17" s="506" t="s">
        <v>78</v>
      </c>
      <c r="B17" s="113">
        <v>173</v>
      </c>
      <c r="C17" s="294">
        <v>0</v>
      </c>
      <c r="D17" s="253"/>
    </row>
    <row r="18" spans="1:6">
      <c r="A18" s="527"/>
    </row>
    <row r="20" spans="1:6" ht="32.4">
      <c r="A20" s="528" t="s">
        <v>3</v>
      </c>
      <c r="B20" s="80" t="s">
        <v>4</v>
      </c>
      <c r="C20" s="102" t="s">
        <v>149</v>
      </c>
      <c r="D20" s="103" t="s">
        <v>148</v>
      </c>
      <c r="F20" s="56"/>
    </row>
    <row r="21" spans="1:6" ht="18" thickBot="1">
      <c r="A21" s="526" t="s">
        <v>783</v>
      </c>
      <c r="B21" s="123">
        <v>163239</v>
      </c>
      <c r="C21" s="374">
        <v>0.42399999999999999</v>
      </c>
      <c r="D21" s="468"/>
      <c r="E21" s="450"/>
      <c r="F21" s="26"/>
    </row>
    <row r="22" spans="1:6" ht="14.25" customHeight="1">
      <c r="A22" s="505" t="s">
        <v>56</v>
      </c>
      <c r="B22" s="469"/>
      <c r="C22" s="467"/>
      <c r="D22" s="251"/>
    </row>
    <row r="23" spans="1:6">
      <c r="A23" s="505" t="s">
        <v>1</v>
      </c>
      <c r="B23" s="124">
        <v>222146</v>
      </c>
      <c r="C23" s="339">
        <v>0.57599999999999996</v>
      </c>
      <c r="D23" s="251"/>
    </row>
    <row r="24" spans="1:6">
      <c r="A24" s="506" t="s">
        <v>78</v>
      </c>
      <c r="B24" s="113">
        <v>0</v>
      </c>
      <c r="C24" s="294">
        <v>0</v>
      </c>
      <c r="D24" s="253"/>
    </row>
    <row r="25" spans="1:6" ht="31.05" customHeight="1">
      <c r="A25" s="688" t="s">
        <v>784</v>
      </c>
      <c r="B25" s="689"/>
      <c r="C25" s="689"/>
      <c r="D25" s="690"/>
    </row>
    <row r="28" spans="1:6" ht="32.4">
      <c r="A28" s="513" t="s">
        <v>9</v>
      </c>
      <c r="B28" s="80" t="s">
        <v>4</v>
      </c>
      <c r="C28" s="102" t="s">
        <v>149</v>
      </c>
      <c r="D28" s="103" t="s">
        <v>148</v>
      </c>
      <c r="F28" s="56"/>
    </row>
    <row r="29" spans="1:6" ht="17.399999999999999">
      <c r="A29" s="516" t="s">
        <v>673</v>
      </c>
      <c r="B29" s="127">
        <v>148416</v>
      </c>
      <c r="C29" s="295">
        <v>0.128</v>
      </c>
      <c r="D29" s="181">
        <f>B29/649943</f>
        <v>0.22835233243530587</v>
      </c>
      <c r="E29" s="450"/>
      <c r="F29" s="10"/>
    </row>
    <row r="30" spans="1:6" ht="17.399999999999999">
      <c r="A30" s="523" t="s">
        <v>674</v>
      </c>
      <c r="B30" s="376">
        <v>128094</v>
      </c>
      <c r="C30" s="296">
        <v>0.111</v>
      </c>
      <c r="D30" s="182">
        <f t="shared" ref="D30:D38" si="1">B30/649943</f>
        <v>0.19708497514397416</v>
      </c>
      <c r="E30" s="450"/>
      <c r="F30" s="10"/>
    </row>
    <row r="31" spans="1:6" ht="17.399999999999999">
      <c r="A31" s="516" t="s">
        <v>621</v>
      </c>
      <c r="B31" s="377">
        <v>106721</v>
      </c>
      <c r="C31" s="297">
        <v>9.1999999999999998E-2</v>
      </c>
      <c r="D31" s="183">
        <f t="shared" si="1"/>
        <v>0.16420055297156827</v>
      </c>
      <c r="E31" s="450"/>
      <c r="F31" s="10"/>
    </row>
    <row r="32" spans="1:6" ht="17.399999999999999">
      <c r="A32" s="523" t="s">
        <v>633</v>
      </c>
      <c r="B32" s="376">
        <v>68387</v>
      </c>
      <c r="C32" s="296">
        <v>5.8999999999999997E-2</v>
      </c>
      <c r="D32" s="182">
        <f t="shared" si="1"/>
        <v>0.10521999621505271</v>
      </c>
      <c r="E32" s="450"/>
      <c r="F32" s="10"/>
    </row>
    <row r="33" spans="1:6" ht="17.399999999999999">
      <c r="A33" s="516" t="s">
        <v>675</v>
      </c>
      <c r="B33" s="377">
        <v>51277</v>
      </c>
      <c r="C33" s="297">
        <v>4.3999999999999997E-2</v>
      </c>
      <c r="D33" s="183">
        <f t="shared" si="1"/>
        <v>7.889461075817418E-2</v>
      </c>
      <c r="E33" s="450"/>
      <c r="F33" s="10"/>
    </row>
    <row r="34" spans="1:6" ht="17.399999999999999">
      <c r="A34" s="523" t="s">
        <v>669</v>
      </c>
      <c r="B34" s="376">
        <v>46248</v>
      </c>
      <c r="C34" s="296">
        <v>0.04</v>
      </c>
      <c r="D34" s="182">
        <f t="shared" si="1"/>
        <v>7.1157009153110351E-2</v>
      </c>
      <c r="E34" s="450"/>
      <c r="F34" s="10"/>
    </row>
    <row r="35" spans="1:6" ht="17.399999999999999">
      <c r="A35" s="516" t="s">
        <v>676</v>
      </c>
      <c r="B35" s="377">
        <v>42619</v>
      </c>
      <c r="C35" s="297">
        <v>3.6999999999999998E-2</v>
      </c>
      <c r="D35" s="183">
        <f t="shared" si="1"/>
        <v>6.5573442594196715E-2</v>
      </c>
      <c r="E35" s="450"/>
      <c r="F35" s="10"/>
    </row>
    <row r="36" spans="1:6" ht="17.399999999999999">
      <c r="A36" s="523" t="s">
        <v>677</v>
      </c>
      <c r="B36" s="376">
        <v>39477</v>
      </c>
      <c r="C36" s="296">
        <v>3.4000000000000002E-2</v>
      </c>
      <c r="D36" s="182">
        <f t="shared" si="1"/>
        <v>6.0739172512051055E-2</v>
      </c>
      <c r="E36" s="450"/>
      <c r="F36" s="10"/>
    </row>
    <row r="37" spans="1:6" ht="14.25" customHeight="1" thickBot="1">
      <c r="A37" s="518" t="s">
        <v>678</v>
      </c>
      <c r="B37" s="424">
        <v>18704</v>
      </c>
      <c r="C37" s="374">
        <v>1.6E-2</v>
      </c>
      <c r="D37" s="342">
        <f t="shared" si="1"/>
        <v>2.8777908216566683E-2</v>
      </c>
      <c r="E37" s="450"/>
      <c r="F37" s="11"/>
    </row>
    <row r="38" spans="1:6" ht="14.25" customHeight="1">
      <c r="A38" s="505" t="s">
        <v>56</v>
      </c>
      <c r="B38" s="124">
        <f>SUM(B29:B37)</f>
        <v>649943</v>
      </c>
      <c r="C38" s="470"/>
      <c r="D38" s="183">
        <f t="shared" si="1"/>
        <v>1</v>
      </c>
      <c r="E38" s="11"/>
      <c r="F38" s="11"/>
    </row>
    <row r="39" spans="1:6">
      <c r="A39" s="505" t="s">
        <v>1</v>
      </c>
      <c r="B39" s="125">
        <v>505735</v>
      </c>
      <c r="C39" s="375">
        <v>0.437</v>
      </c>
      <c r="D39" s="326"/>
      <c r="E39" s="7"/>
      <c r="F39" s="6"/>
    </row>
    <row r="40" spans="1:6">
      <c r="A40" s="506" t="s">
        <v>78</v>
      </c>
      <c r="B40" s="113">
        <v>159</v>
      </c>
      <c r="C40" s="294">
        <v>0</v>
      </c>
      <c r="D40" s="253"/>
    </row>
    <row r="41" spans="1:6">
      <c r="A41" s="527"/>
    </row>
    <row r="43" spans="1:6" ht="38.25" customHeight="1">
      <c r="A43" s="687" t="s">
        <v>133</v>
      </c>
      <c r="B43" s="687"/>
      <c r="C43" s="687"/>
      <c r="D43" s="687"/>
    </row>
  </sheetData>
  <mergeCells count="5">
    <mergeCell ref="A8:D8"/>
    <mergeCell ref="A2:D2"/>
    <mergeCell ref="A5:D5"/>
    <mergeCell ref="A43:D43"/>
    <mergeCell ref="A25:D25"/>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24</vt:i4>
      </vt:variant>
    </vt:vector>
  </HeadingPairs>
  <TitlesOfParts>
    <vt:vector size="24" baseType="lpstr">
      <vt:lpstr>Introduction</vt:lpstr>
      <vt:lpstr>OHA Elections</vt:lpstr>
      <vt:lpstr>2022</vt:lpstr>
      <vt:lpstr>2020</vt:lpstr>
      <vt:lpstr>2018</vt:lpstr>
      <vt:lpstr>2016</vt:lpstr>
      <vt:lpstr>2014</vt:lpstr>
      <vt:lpstr>2012</vt:lpstr>
      <vt:lpstr>2010</vt:lpstr>
      <vt:lpstr>2008</vt:lpstr>
      <vt:lpstr>2006</vt:lpstr>
      <vt:lpstr>2004</vt:lpstr>
      <vt:lpstr>2002</vt:lpstr>
      <vt:lpstr>2000</vt:lpstr>
      <vt:lpstr>1998</vt:lpstr>
      <vt:lpstr>1996</vt:lpstr>
      <vt:lpstr>1994</vt:lpstr>
      <vt:lpstr>1992</vt:lpstr>
      <vt:lpstr>1990</vt:lpstr>
      <vt:lpstr>1988</vt:lpstr>
      <vt:lpstr>1986</vt:lpstr>
      <vt:lpstr>1984</vt:lpstr>
      <vt:lpstr>1982</vt:lpstr>
      <vt:lpstr>1980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Mark Eshima</dc:creator>
  <cp:lastModifiedBy>Mark Eshima</cp:lastModifiedBy>
  <cp:lastPrinted>2020-11-12T19:40:08Z</cp:lastPrinted>
  <dcterms:created xsi:type="dcterms:W3CDTF">2018-08-07T17:05:38Z</dcterms:created>
  <dcterms:modified xsi:type="dcterms:W3CDTF">2023-12-21T21:08:49Z</dcterms:modified>
</cp:coreProperties>
</file>